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d Pratt\Desktop\PEV Ltd\Recovered Revenue\Recovered Revenue HTML_files\"/>
    </mc:Choice>
  </mc:AlternateContent>
  <xr:revisionPtr revIDLastSave="0" documentId="13_ncr:1_{56A8700A-4633-4B28-82D3-889CA79A8020}" xr6:coauthVersionLast="47" xr6:coauthVersionMax="47" xr10:uidLastSave="{00000000-0000-0000-0000-000000000000}"/>
  <bookViews>
    <workbookView xWindow="-120" yWindow="-120" windowWidth="29040" windowHeight="15840" activeTab="2" xr2:uid="{B068A415-8E95-494F-B69D-645531DBD781}"/>
  </bookViews>
  <sheets>
    <sheet name="Inputs" sheetId="5" r:id="rId1"/>
    <sheet name="CPT Economics" sheetId="2" state="veryHidden" r:id="rId2"/>
    <sheet name="Mode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E38" i="2"/>
  <c r="E37" i="2"/>
  <c r="E36" i="2"/>
  <c r="E35" i="2"/>
  <c r="E34" i="2"/>
  <c r="E33" i="2"/>
  <c r="E32" i="2"/>
  <c r="E31" i="2"/>
  <c r="E30" i="2"/>
  <c r="E29" i="2"/>
  <c r="D34" i="2"/>
  <c r="D33" i="2"/>
  <c r="D32" i="2"/>
  <c r="D31" i="2"/>
  <c r="D30" i="2"/>
  <c r="D29" i="2"/>
  <c r="D36" i="2"/>
  <c r="D37" i="2"/>
  <c r="D38" i="2"/>
  <c r="D39" i="2"/>
  <c r="B39" i="2"/>
  <c r="B38" i="2"/>
  <c r="B37" i="2"/>
  <c r="B36" i="2"/>
  <c r="B35" i="2"/>
  <c r="B34" i="2"/>
  <c r="B33" i="2"/>
  <c r="B32" i="2"/>
  <c r="B31" i="2"/>
  <c r="B30" i="2"/>
  <c r="B29" i="2"/>
  <c r="A39" i="2"/>
  <c r="A38" i="2"/>
  <c r="A37" i="2"/>
  <c r="A36" i="2"/>
  <c r="A35" i="2"/>
  <c r="A34" i="2"/>
  <c r="A33" i="2"/>
  <c r="A32" i="2"/>
  <c r="A31" i="2"/>
  <c r="A30" i="2"/>
  <c r="A29" i="2"/>
  <c r="B6" i="5"/>
  <c r="H31" i="2" s="1"/>
  <c r="I31" i="2" s="1"/>
  <c r="A2" i="2"/>
  <c r="C4" i="3"/>
  <c r="C17" i="2"/>
  <c r="S36" i="2"/>
  <c r="V37" i="2"/>
  <c r="S34" i="2"/>
  <c r="S33" i="2"/>
  <c r="S32" i="2"/>
  <c r="S31" i="2"/>
  <c r="S30" i="2"/>
  <c r="S29" i="2"/>
  <c r="P36" i="2"/>
  <c r="S37" i="2"/>
  <c r="P34" i="2"/>
  <c r="P33" i="2"/>
  <c r="P32" i="2"/>
  <c r="P31" i="2"/>
  <c r="P30" i="2"/>
  <c r="P29" i="2"/>
  <c r="M36" i="2"/>
  <c r="M37" i="2"/>
  <c r="M34" i="2"/>
  <c r="M33" i="2"/>
  <c r="M32" i="2"/>
  <c r="M31" i="2"/>
  <c r="M30" i="2"/>
  <c r="M29" i="2"/>
  <c r="J36" i="2"/>
  <c r="J37" i="2"/>
  <c r="J34" i="2"/>
  <c r="J33" i="2"/>
  <c r="J32" i="2"/>
  <c r="J31" i="2"/>
  <c r="J30" i="2"/>
  <c r="J29" i="2"/>
  <c r="AK16" i="2"/>
  <c r="AK19" i="2"/>
  <c r="AK14" i="2"/>
  <c r="AK13" i="2"/>
  <c r="AK12" i="2"/>
  <c r="AK11" i="2"/>
  <c r="AK10" i="2"/>
  <c r="AE16" i="2"/>
  <c r="AE19" i="2"/>
  <c r="AE14" i="2"/>
  <c r="AE13" i="2"/>
  <c r="AE12" i="2"/>
  <c r="AE11" i="2"/>
  <c r="AE10" i="2"/>
  <c r="AN16" i="2"/>
  <c r="AN19" i="2"/>
  <c r="AN14" i="2"/>
  <c r="AN13" i="2"/>
  <c r="AN12" i="2"/>
  <c r="AN11" i="2"/>
  <c r="AN10" i="2"/>
  <c r="AH19" i="2"/>
  <c r="AH16" i="2"/>
  <c r="AK17" i="2"/>
  <c r="AK18" i="2"/>
  <c r="AH14" i="2"/>
  <c r="AH13" i="2"/>
  <c r="AH12" i="2"/>
  <c r="AH11" i="2"/>
  <c r="AH10" i="2"/>
  <c r="AB16" i="2"/>
  <c r="AE17" i="2"/>
  <c r="AE18" i="2"/>
  <c r="AB14" i="2"/>
  <c r="AB13" i="2"/>
  <c r="AB12" i="2"/>
  <c r="AB11" i="2"/>
  <c r="AB10" i="2"/>
  <c r="Y17" i="2"/>
  <c r="Y18" i="2"/>
  <c r="Y16" i="2"/>
  <c r="AB17" i="2"/>
  <c r="AB18" i="2"/>
  <c r="Y14" i="2"/>
  <c r="Y13" i="2"/>
  <c r="Y12" i="2"/>
  <c r="Y11" i="2"/>
  <c r="Y10" i="2"/>
  <c r="V16" i="2"/>
  <c r="V14" i="2"/>
  <c r="V13" i="2"/>
  <c r="V12" i="2"/>
  <c r="V11" i="2"/>
  <c r="V10" i="2"/>
  <c r="S16" i="2"/>
  <c r="V17" i="2"/>
  <c r="S14" i="2"/>
  <c r="S13" i="2"/>
  <c r="S12" i="2"/>
  <c r="S11" i="2"/>
  <c r="S10" i="2"/>
  <c r="P16" i="2"/>
  <c r="S17" i="2"/>
  <c r="P14" i="2"/>
  <c r="P13" i="2"/>
  <c r="P12" i="2"/>
  <c r="P11" i="2"/>
  <c r="P10" i="2"/>
  <c r="M16" i="2"/>
  <c r="P17" i="2"/>
  <c r="P18" i="2"/>
  <c r="M14" i="2"/>
  <c r="M13" i="2"/>
  <c r="M12" i="2"/>
  <c r="M11" i="2"/>
  <c r="M10" i="2"/>
  <c r="J17" i="2"/>
  <c r="J16" i="2"/>
  <c r="M17" i="2"/>
  <c r="J14" i="2"/>
  <c r="J13" i="2"/>
  <c r="J12" i="2"/>
  <c r="J11" i="2"/>
  <c r="J10" i="2"/>
  <c r="G36" i="2"/>
  <c r="G37" i="2"/>
  <c r="G34" i="2"/>
  <c r="G33" i="2"/>
  <c r="G32" i="2"/>
  <c r="G31" i="2"/>
  <c r="G30" i="2"/>
  <c r="G29" i="2"/>
  <c r="G16" i="2"/>
  <c r="G14" i="2"/>
  <c r="G13" i="2"/>
  <c r="G12" i="2"/>
  <c r="G11" i="2"/>
  <c r="G10" i="2"/>
  <c r="AB19" i="2"/>
  <c r="Y19" i="2"/>
  <c r="P19" i="2"/>
  <c r="AH17" i="2"/>
  <c r="AH18" i="2"/>
  <c r="AN17" i="2"/>
  <c r="AN18" i="2"/>
  <c r="V18" i="2"/>
  <c r="S18" i="2"/>
  <c r="V38" i="2"/>
  <c r="S39" i="2"/>
  <c r="S38" i="2"/>
  <c r="P39" i="2"/>
  <c r="M39" i="2"/>
  <c r="J39" i="2"/>
  <c r="G39" i="2"/>
  <c r="V19" i="2"/>
  <c r="S19" i="2"/>
  <c r="M19" i="2"/>
  <c r="J18" i="2"/>
  <c r="M18" i="2"/>
  <c r="C33" i="2"/>
  <c r="C32" i="2"/>
  <c r="C31" i="2"/>
  <c r="C30" i="2"/>
  <c r="C29" i="2"/>
  <c r="C34" i="2"/>
  <c r="C39" i="2"/>
  <c r="C38" i="2"/>
  <c r="C37" i="2"/>
  <c r="C36" i="2"/>
  <c r="C35" i="2"/>
  <c r="AP39" i="2"/>
  <c r="AM39" i="2"/>
  <c r="AJ39" i="2"/>
  <c r="AG39" i="2"/>
  <c r="AD39" i="2"/>
  <c r="P38" i="2"/>
  <c r="M38" i="2"/>
  <c r="J38" i="2"/>
  <c r="G38" i="2"/>
  <c r="AN35" i="2"/>
  <c r="AK35" i="2"/>
  <c r="AH35" i="2"/>
  <c r="AB35" i="2"/>
  <c r="Y35" i="2"/>
  <c r="V35" i="2"/>
  <c r="H24" i="2"/>
  <c r="AP19" i="2"/>
  <c r="AM19" i="2"/>
  <c r="AJ19" i="2"/>
  <c r="AG19" i="2"/>
  <c r="AD19" i="2"/>
  <c r="AA19" i="2"/>
  <c r="D15" i="2"/>
  <c r="AE15" i="2"/>
  <c r="Y15" i="2"/>
  <c r="AH15" i="2"/>
  <c r="AK15" i="2"/>
  <c r="AN15" i="2"/>
  <c r="AB15" i="2"/>
  <c r="P15" i="2"/>
  <c r="S15" i="2"/>
  <c r="G15" i="2"/>
  <c r="G19" i="2"/>
  <c r="M15" i="2"/>
  <c r="D35" i="2"/>
  <c r="V15" i="2"/>
  <c r="J15" i="2"/>
  <c r="S35" i="2"/>
  <c r="J19" i="2"/>
  <c r="P35" i="2"/>
  <c r="AE35" i="2"/>
  <c r="G35" i="2"/>
  <c r="M35" i="2"/>
  <c r="J35" i="2"/>
  <c r="AI18" i="2" l="1"/>
  <c r="AJ18" i="2" s="1"/>
  <c r="H30" i="2"/>
  <c r="I30" i="2" s="1"/>
  <c r="H38" i="2"/>
  <c r="I38" i="2" s="1"/>
  <c r="N35" i="2"/>
  <c r="O35" i="2" s="1"/>
  <c r="N18" i="2"/>
  <c r="O18" i="2" s="1"/>
  <c r="T38" i="2"/>
  <c r="U38" i="2" s="1"/>
  <c r="T37" i="2"/>
  <c r="U37" i="2" s="1"/>
  <c r="K38" i="2"/>
  <c r="L38" i="2" s="1"/>
  <c r="N37" i="2"/>
  <c r="O37" i="2" s="1"/>
  <c r="AI35" i="2"/>
  <c r="AJ35" i="2" s="1"/>
  <c r="N15" i="2"/>
  <c r="O15" i="2" s="1"/>
  <c r="T35" i="2"/>
  <c r="U35" i="2" s="1"/>
  <c r="AC38" i="2"/>
  <c r="AD38" i="2" s="1"/>
  <c r="Z18" i="2"/>
  <c r="AA18" i="2" s="1"/>
  <c r="W37" i="2"/>
  <c r="X37" i="2" s="1"/>
  <c r="H35" i="2"/>
  <c r="I35" i="2" s="1"/>
  <c r="AC18" i="2"/>
  <c r="AD18" i="2" s="1"/>
  <c r="W17" i="2"/>
  <c r="X17" i="2" s="1"/>
  <c r="AL38" i="2"/>
  <c r="AM38" i="2" s="1"/>
  <c r="H15" i="2"/>
  <c r="I15" i="2" s="1"/>
  <c r="H29" i="2"/>
  <c r="I29" i="2" s="1"/>
  <c r="AO17" i="2"/>
  <c r="AP17" i="2" s="1"/>
  <c r="AF38" i="2"/>
  <c r="AG38" i="2" s="1"/>
  <c r="H18" i="2"/>
  <c r="I18" i="2" s="1"/>
  <c r="W38" i="2"/>
  <c r="X38" i="2" s="1"/>
  <c r="H32" i="2"/>
  <c r="I32" i="2" s="1"/>
  <c r="AL18" i="2"/>
  <c r="AM18" i="2" s="1"/>
  <c r="AI15" i="2"/>
  <c r="AJ15" i="2" s="1"/>
  <c r="K18" i="2"/>
  <c r="L18" i="2" s="1"/>
  <c r="AL35" i="2"/>
  <c r="AM35" i="2" s="1"/>
  <c r="AF15" i="2"/>
  <c r="AG15" i="2" s="1"/>
  <c r="T15" i="2"/>
  <c r="U15" i="2" s="1"/>
  <c r="H9" i="2"/>
  <c r="I9" i="2" s="1"/>
  <c r="AC35" i="2"/>
  <c r="AD35" i="2" s="1"/>
  <c r="K31" i="2"/>
  <c r="L31" i="2" s="1"/>
  <c r="T17" i="2"/>
  <c r="U17" i="2" s="1"/>
  <c r="Q17" i="2"/>
  <c r="R17" i="2" s="1"/>
  <c r="H12" i="2"/>
  <c r="K12" i="2" s="1"/>
  <c r="L12" i="2" s="1"/>
  <c r="AI38" i="2"/>
  <c r="AJ38" i="2" s="1"/>
  <c r="H36" i="2"/>
  <c r="I36" i="2" s="1"/>
  <c r="K17" i="2"/>
  <c r="L17" i="2" s="1"/>
  <c r="H13" i="2"/>
  <c r="N38" i="2"/>
  <c r="O38" i="2" s="1"/>
  <c r="H16" i="2"/>
  <c r="I16" i="2" s="1"/>
  <c r="Q15" i="2"/>
  <c r="R15" i="2" s="1"/>
  <c r="N12" i="2"/>
  <c r="AF35" i="2"/>
  <c r="AG35" i="2" s="1"/>
  <c r="K37" i="2"/>
  <c r="L37" i="2" s="1"/>
  <c r="Z17" i="2"/>
  <c r="AA17" i="2" s="1"/>
  <c r="AI37" i="2"/>
  <c r="AJ37" i="2" s="1"/>
  <c r="H39" i="2"/>
  <c r="Z15" i="2"/>
  <c r="AA15" i="2" s="1"/>
  <c r="H33" i="2"/>
  <c r="Z38" i="2"/>
  <c r="AA38" i="2" s="1"/>
  <c r="Q38" i="2"/>
  <c r="R38" i="2" s="1"/>
  <c r="AC17" i="2"/>
  <c r="AD17" i="2" s="1"/>
  <c r="Q18" i="2"/>
  <c r="R18" i="2" s="1"/>
  <c r="W18" i="2"/>
  <c r="X18" i="2" s="1"/>
  <c r="H11" i="2"/>
  <c r="Z37" i="2"/>
  <c r="AA37" i="2" s="1"/>
  <c r="AL17" i="2"/>
  <c r="AM17" i="2" s="1"/>
  <c r="AO37" i="2"/>
  <c r="AP37" i="2" s="1"/>
  <c r="AF37" i="2"/>
  <c r="AG37" i="2" s="1"/>
  <c r="T18" i="2"/>
  <c r="U18" i="2" s="1"/>
  <c r="AC15" i="2"/>
  <c r="AD15" i="2" s="1"/>
  <c r="C5" i="3"/>
  <c r="B8" i="5"/>
  <c r="Q35" i="2"/>
  <c r="R35" i="2" s="1"/>
  <c r="K15" i="2"/>
  <c r="L15" i="2" s="1"/>
  <c r="W15" i="2"/>
  <c r="X15" i="2" s="1"/>
  <c r="H34" i="2"/>
  <c r="AO15" i="2"/>
  <c r="AP15" i="2" s="1"/>
  <c r="AC37" i="2"/>
  <c r="AD37" i="2" s="1"/>
  <c r="AO38" i="2"/>
  <c r="AP38" i="2" s="1"/>
  <c r="AO35" i="2"/>
  <c r="AP35" i="2" s="1"/>
  <c r="H17" i="2"/>
  <c r="H14" i="2"/>
  <c r="AF18" i="2"/>
  <c r="AG18" i="2" s="1"/>
  <c r="AL37" i="2"/>
  <c r="AM37" i="2" s="1"/>
  <c r="AO18" i="2"/>
  <c r="AP18" i="2" s="1"/>
  <c r="Z35" i="2"/>
  <c r="AA35" i="2" s="1"/>
  <c r="AI17" i="2"/>
  <c r="AJ17" i="2" s="1"/>
  <c r="H10" i="2"/>
  <c r="W35" i="2"/>
  <c r="X35" i="2" s="1"/>
  <c r="N17" i="2"/>
  <c r="O17" i="2" s="1"/>
  <c r="Q37" i="2"/>
  <c r="R37" i="2" s="1"/>
  <c r="H37" i="2"/>
  <c r="I37" i="2" s="1"/>
  <c r="AF17" i="2"/>
  <c r="AG17" i="2" s="1"/>
  <c r="H19" i="2"/>
  <c r="I19" i="2" s="1"/>
  <c r="AL15" i="2"/>
  <c r="AM15" i="2" s="1"/>
  <c r="C6" i="3"/>
  <c r="K35" i="2"/>
  <c r="L35" i="2" s="1"/>
  <c r="I12" i="2" l="1"/>
  <c r="K30" i="2"/>
  <c r="H41" i="2"/>
  <c r="K29" i="2"/>
  <c r="K32" i="2"/>
  <c r="N32" i="2" s="1"/>
  <c r="Q32" i="2" s="1"/>
  <c r="N31" i="2"/>
  <c r="Q31" i="2" s="1"/>
  <c r="T31" i="2" s="1"/>
  <c r="U31" i="2" s="1"/>
  <c r="K9" i="2"/>
  <c r="K20" i="2" s="1"/>
  <c r="D10" i="3" s="1"/>
  <c r="K36" i="2"/>
  <c r="L36" i="2" s="1"/>
  <c r="I13" i="2"/>
  <c r="K13" i="2"/>
  <c r="K16" i="2"/>
  <c r="L16" i="2" s="1"/>
  <c r="H40" i="2"/>
  <c r="C16" i="3" s="1"/>
  <c r="K10" i="2"/>
  <c r="H21" i="2"/>
  <c r="I10" i="2"/>
  <c r="I34" i="2"/>
  <c r="K34" i="2"/>
  <c r="O12" i="2"/>
  <c r="I11" i="2"/>
  <c r="K11" i="2"/>
  <c r="L29" i="2"/>
  <c r="K40" i="2"/>
  <c r="D16" i="3" s="1"/>
  <c r="N29" i="2"/>
  <c r="Q29" i="2" s="1"/>
  <c r="T29" i="2" s="1"/>
  <c r="K19" i="2"/>
  <c r="Q12" i="2"/>
  <c r="I33" i="2"/>
  <c r="K33" i="2"/>
  <c r="K41" i="2"/>
  <c r="N30" i="2"/>
  <c r="L30" i="2"/>
  <c r="K14" i="2"/>
  <c r="I14" i="2"/>
  <c r="I17" i="2"/>
  <c r="H20" i="2"/>
  <c r="C10" i="3" s="1"/>
  <c r="I39" i="2"/>
  <c r="K39" i="2"/>
  <c r="O31" i="2" l="1"/>
  <c r="L32" i="2"/>
  <c r="W31" i="2"/>
  <c r="X31" i="2" s="1"/>
  <c r="N36" i="2"/>
  <c r="Q36" i="2" s="1"/>
  <c r="R31" i="2"/>
  <c r="L9" i="2"/>
  <c r="N9" i="2"/>
  <c r="Q9" i="2" s="1"/>
  <c r="T32" i="2"/>
  <c r="W32" i="2" s="1"/>
  <c r="X32" i="2" s="1"/>
  <c r="I42" i="2"/>
  <c r="I43" i="2" s="1"/>
  <c r="I44" i="2" s="1"/>
  <c r="C17" i="3" s="1"/>
  <c r="N16" i="2"/>
  <c r="Q16" i="2" s="1"/>
  <c r="R16" i="2" s="1"/>
  <c r="N13" i="2"/>
  <c r="L13" i="2"/>
  <c r="L34" i="2"/>
  <c r="N34" i="2"/>
  <c r="Q34" i="2" s="1"/>
  <c r="T34" i="2" s="1"/>
  <c r="L33" i="2"/>
  <c r="N33" i="2"/>
  <c r="Q33" i="2" s="1"/>
  <c r="K21" i="2"/>
  <c r="L10" i="2"/>
  <c r="N10" i="2"/>
  <c r="R32" i="2"/>
  <c r="U29" i="2"/>
  <c r="T40" i="2"/>
  <c r="G16" i="3" s="1"/>
  <c r="N40" i="2"/>
  <c r="E16" i="3" s="1"/>
  <c r="O29" i="2"/>
  <c r="W29" i="2"/>
  <c r="L19" i="2"/>
  <c r="N19" i="2"/>
  <c r="N14" i="2"/>
  <c r="Q14" i="2" s="1"/>
  <c r="L14" i="2"/>
  <c r="N39" i="2"/>
  <c r="L39" i="2"/>
  <c r="N41" i="2"/>
  <c r="O30" i="2"/>
  <c r="L11" i="2"/>
  <c r="N11" i="2"/>
  <c r="Q30" i="2"/>
  <c r="Q40" i="2"/>
  <c r="F16" i="3" s="1"/>
  <c r="R29" i="2"/>
  <c r="R12" i="2"/>
  <c r="T12" i="2"/>
  <c r="O32" i="2"/>
  <c r="I22" i="2"/>
  <c r="O36" i="2" l="1"/>
  <c r="Z31" i="2"/>
  <c r="AA31" i="2" s="1"/>
  <c r="O9" i="2"/>
  <c r="O16" i="2"/>
  <c r="U32" i="2"/>
  <c r="N20" i="2"/>
  <c r="E10" i="3" s="1"/>
  <c r="O13" i="2"/>
  <c r="Q13" i="2"/>
  <c r="T16" i="2"/>
  <c r="U16" i="2" s="1"/>
  <c r="Q10" i="2"/>
  <c r="T10" i="2" s="1"/>
  <c r="L22" i="2"/>
  <c r="L23" i="2" s="1"/>
  <c r="L42" i="2"/>
  <c r="C18" i="3"/>
  <c r="U34" i="2"/>
  <c r="R34" i="2"/>
  <c r="O19" i="2"/>
  <c r="Q19" i="2"/>
  <c r="I23" i="2"/>
  <c r="I24" i="2" s="1"/>
  <c r="C11" i="3" s="1"/>
  <c r="Q41" i="2"/>
  <c r="R30" i="2"/>
  <c r="T30" i="2"/>
  <c r="U12" i="2"/>
  <c r="Z32" i="2"/>
  <c r="AC32" i="2" s="1"/>
  <c r="AD32" i="2" s="1"/>
  <c r="R33" i="2"/>
  <c r="O34" i="2"/>
  <c r="W34" i="2"/>
  <c r="X34" i="2" s="1"/>
  <c r="R14" i="2"/>
  <c r="O11" i="2"/>
  <c r="Q11" i="2"/>
  <c r="T14" i="2"/>
  <c r="O33" i="2"/>
  <c r="T33" i="2"/>
  <c r="W12" i="2"/>
  <c r="X12" i="2" s="1"/>
  <c r="Q39" i="2"/>
  <c r="O39" i="2"/>
  <c r="O14" i="2"/>
  <c r="W40" i="2"/>
  <c r="H16" i="3" s="1"/>
  <c r="X29" i="2"/>
  <c r="Z29" i="2"/>
  <c r="R9" i="2"/>
  <c r="Q20" i="2"/>
  <c r="F10" i="3" s="1"/>
  <c r="T9" i="2"/>
  <c r="O10" i="2"/>
  <c r="N21" i="2"/>
  <c r="R36" i="2"/>
  <c r="T36" i="2"/>
  <c r="AC31" i="2" l="1"/>
  <c r="AD31" i="2" s="1"/>
  <c r="AF31" i="2"/>
  <c r="AG31" i="2" s="1"/>
  <c r="O22" i="2"/>
  <c r="O23" i="2" s="1"/>
  <c r="O24" i="2" s="1"/>
  <c r="E11" i="3" s="1"/>
  <c r="E12" i="3" s="1"/>
  <c r="R10" i="2"/>
  <c r="O42" i="2"/>
  <c r="R13" i="2"/>
  <c r="T13" i="2"/>
  <c r="W16" i="2"/>
  <c r="X16" i="2" s="1"/>
  <c r="T21" i="2"/>
  <c r="W10" i="2"/>
  <c r="Z10" i="2" s="1"/>
  <c r="AA10" i="2" s="1"/>
  <c r="U10" i="2"/>
  <c r="L43" i="2"/>
  <c r="L44" i="2" s="1"/>
  <c r="D17" i="3" s="1"/>
  <c r="D18" i="3" s="1"/>
  <c r="L24" i="2"/>
  <c r="D11" i="3" s="1"/>
  <c r="D12" i="3" s="1"/>
  <c r="Q21" i="2"/>
  <c r="O43" i="2"/>
  <c r="O44" i="2" s="1"/>
  <c r="E17" i="3" s="1"/>
  <c r="U30" i="2"/>
  <c r="T41" i="2"/>
  <c r="W30" i="2"/>
  <c r="C12" i="3"/>
  <c r="U36" i="2"/>
  <c r="W36" i="2"/>
  <c r="X36" i="2" s="1"/>
  <c r="U14" i="2"/>
  <c r="U33" i="2"/>
  <c r="W14" i="2"/>
  <c r="R11" i="2"/>
  <c r="T11" i="2"/>
  <c r="T20" i="2"/>
  <c r="G10" i="3" s="1"/>
  <c r="U9" i="2"/>
  <c r="W9" i="2"/>
  <c r="Z40" i="2"/>
  <c r="I16" i="3" s="1"/>
  <c r="AA29" i="2"/>
  <c r="AC29" i="2"/>
  <c r="R39" i="2"/>
  <c r="R42" i="2" s="1"/>
  <c r="T39" i="2"/>
  <c r="R19" i="2"/>
  <c r="T19" i="2"/>
  <c r="W33" i="2"/>
  <c r="Z12" i="2"/>
  <c r="AA32" i="2"/>
  <c r="AF32" i="2"/>
  <c r="Z34" i="2"/>
  <c r="AI31" i="2" l="1"/>
  <c r="AL31" i="2" s="1"/>
  <c r="AM31" i="2" s="1"/>
  <c r="X10" i="2"/>
  <c r="W21" i="2"/>
  <c r="Z30" i="2"/>
  <c r="AC30" i="2" s="1"/>
  <c r="U13" i="2"/>
  <c r="R22" i="2"/>
  <c r="R23" i="2" s="1"/>
  <c r="W13" i="2"/>
  <c r="Z21" i="2"/>
  <c r="AC10" i="2"/>
  <c r="R43" i="2"/>
  <c r="R44" i="2" s="1"/>
  <c r="F17" i="3" s="1"/>
  <c r="E18" i="3"/>
  <c r="U39" i="2"/>
  <c r="U42" i="2" s="1"/>
  <c r="W39" i="2"/>
  <c r="X39" i="2" s="1"/>
  <c r="Z39" i="2"/>
  <c r="AA39" i="2" s="1"/>
  <c r="X14" i="2"/>
  <c r="Z14" i="2"/>
  <c r="AC14" i="2" s="1"/>
  <c r="AD14" i="2" s="1"/>
  <c r="AA34" i="2"/>
  <c r="U19" i="2"/>
  <c r="W19" i="2"/>
  <c r="X19" i="2" s="1"/>
  <c r="AA12" i="2"/>
  <c r="AC12" i="2"/>
  <c r="AD12" i="2" s="1"/>
  <c r="X33" i="2"/>
  <c r="AC40" i="2"/>
  <c r="J16" i="3" s="1"/>
  <c r="AD29" i="2"/>
  <c r="AF29" i="2"/>
  <c r="AC34" i="2"/>
  <c r="AD34" i="2" s="1"/>
  <c r="Z33" i="2"/>
  <c r="AA33" i="2" s="1"/>
  <c r="AG32" i="2"/>
  <c r="AI32" i="2"/>
  <c r="X9" i="2"/>
  <c r="W20" i="2"/>
  <c r="H10" i="3" s="1"/>
  <c r="Z9" i="2"/>
  <c r="U11" i="2"/>
  <c r="X30" i="2"/>
  <c r="W41" i="2"/>
  <c r="W11" i="2"/>
  <c r="AJ31" i="2" l="1"/>
  <c r="AO31" i="2"/>
  <c r="AP31" i="2" s="1"/>
  <c r="AA30" i="2"/>
  <c r="AA42" i="2" s="1"/>
  <c r="AA43" i="2" s="1"/>
  <c r="Z41" i="2"/>
  <c r="AC41" i="2"/>
  <c r="AD30" i="2"/>
  <c r="AF30" i="2"/>
  <c r="U22" i="2"/>
  <c r="U23" i="2" s="1"/>
  <c r="U24" i="2" s="1"/>
  <c r="G11" i="3" s="1"/>
  <c r="AF34" i="2"/>
  <c r="AG34" i="2" s="1"/>
  <c r="R24" i="2"/>
  <c r="F11" i="3" s="1"/>
  <c r="F12" i="3" s="1"/>
  <c r="X13" i="2"/>
  <c r="Z13" i="2"/>
  <c r="AF10" i="2"/>
  <c r="AI10" i="2" s="1"/>
  <c r="AD10" i="2"/>
  <c r="AC21" i="2"/>
  <c r="X42" i="2"/>
  <c r="U43" i="2"/>
  <c r="U44" i="2" s="1"/>
  <c r="G17" i="3" s="1"/>
  <c r="F18" i="3"/>
  <c r="AJ32" i="2"/>
  <c r="AC33" i="2"/>
  <c r="AF33" i="2" s="1"/>
  <c r="AG33" i="2" s="1"/>
  <c r="X11" i="2"/>
  <c r="Z11" i="2"/>
  <c r="AC11" i="2" s="1"/>
  <c r="AL32" i="2"/>
  <c r="AM32" i="2" s="1"/>
  <c r="AA9" i="2"/>
  <c r="Z20" i="2"/>
  <c r="I10" i="3" s="1"/>
  <c r="AC9" i="2"/>
  <c r="AF9" i="2" s="1"/>
  <c r="AG29" i="2"/>
  <c r="AF40" i="2"/>
  <c r="K16" i="3" s="1"/>
  <c r="AI29" i="2"/>
  <c r="AA14" i="2"/>
  <c r="AF14" i="2"/>
  <c r="AF12" i="2"/>
  <c r="X22" i="2" l="1"/>
  <c r="X23" i="2" s="1"/>
  <c r="X24" i="2" s="1"/>
  <c r="H11" i="3" s="1"/>
  <c r="AG30" i="2"/>
  <c r="AG42" i="2" s="1"/>
  <c r="AF41" i="2"/>
  <c r="AI30" i="2"/>
  <c r="AI34" i="2"/>
  <c r="AJ34" i="2" s="1"/>
  <c r="AA13" i="2"/>
  <c r="AC13" i="2"/>
  <c r="AD13" i="2" s="1"/>
  <c r="AA44" i="2"/>
  <c r="I17" i="3" s="1"/>
  <c r="I18" i="3" s="1"/>
  <c r="AI21" i="2"/>
  <c r="AJ10" i="2"/>
  <c r="X43" i="2"/>
  <c r="X44" i="2" s="1"/>
  <c r="H17" i="3" s="1"/>
  <c r="H18" i="3" s="1"/>
  <c r="AL10" i="2"/>
  <c r="AO10" i="2" s="1"/>
  <c r="AG10" i="2"/>
  <c r="AF21" i="2"/>
  <c r="AD11" i="2"/>
  <c r="G12" i="3"/>
  <c r="G18" i="3"/>
  <c r="AG9" i="2"/>
  <c r="AF20" i="2"/>
  <c r="K10" i="3" s="1"/>
  <c r="AA11" i="2"/>
  <c r="AI40" i="2"/>
  <c r="L16" i="3" s="1"/>
  <c r="AJ29" i="2"/>
  <c r="AL29" i="2"/>
  <c r="AF11" i="2"/>
  <c r="AG11" i="2" s="1"/>
  <c r="AI9" i="2"/>
  <c r="AL9" i="2" s="1"/>
  <c r="AG12" i="2"/>
  <c r="AI12" i="2"/>
  <c r="AJ12" i="2" s="1"/>
  <c r="AG14" i="2"/>
  <c r="AI14" i="2"/>
  <c r="AJ14" i="2" s="1"/>
  <c r="AD33" i="2"/>
  <c r="AD42" i="2" s="1"/>
  <c r="AI33" i="2"/>
  <c r="AC20" i="2"/>
  <c r="J10" i="3" s="1"/>
  <c r="AD9" i="2"/>
  <c r="AO32" i="2"/>
  <c r="AP32" i="2" s="1"/>
  <c r="AF13" i="2" l="1"/>
  <c r="AG13" i="2" s="1"/>
  <c r="AG22" i="2" s="1"/>
  <c r="AG23" i="2" s="1"/>
  <c r="AA22" i="2"/>
  <c r="AA23" i="2" s="1"/>
  <c r="AA24" i="2" s="1"/>
  <c r="I11" i="3" s="1"/>
  <c r="I12" i="3" s="1"/>
  <c r="AL34" i="2"/>
  <c r="AM34" i="2" s="1"/>
  <c r="AI41" i="2"/>
  <c r="AJ30" i="2"/>
  <c r="AL30" i="2"/>
  <c r="AL12" i="2"/>
  <c r="AM12" i="2" s="1"/>
  <c r="AD22" i="2"/>
  <c r="AD23" i="2" s="1"/>
  <c r="AP10" i="2"/>
  <c r="AO21" i="2"/>
  <c r="AL21" i="2"/>
  <c r="AM10" i="2"/>
  <c r="AL20" i="2"/>
  <c r="M10" i="3" s="1"/>
  <c r="AM9" i="2"/>
  <c r="H12" i="3"/>
  <c r="AG43" i="2"/>
  <c r="AG44" i="2" s="1"/>
  <c r="K17" i="3" s="1"/>
  <c r="K18" i="3" s="1"/>
  <c r="AJ33" i="2"/>
  <c r="AI11" i="2"/>
  <c r="AJ11" i="2" s="1"/>
  <c r="AM29" i="2"/>
  <c r="AL40" i="2"/>
  <c r="M16" i="3" s="1"/>
  <c r="AL14" i="2"/>
  <c r="AO29" i="2"/>
  <c r="AI20" i="2"/>
  <c r="L10" i="3" s="1"/>
  <c r="AJ9" i="2"/>
  <c r="AO9" i="2"/>
  <c r="AL33" i="2"/>
  <c r="AM33" i="2" s="1"/>
  <c r="AD43" i="2"/>
  <c r="AD44" i="2" s="1"/>
  <c r="J17" i="3" s="1"/>
  <c r="J18" i="3" s="1"/>
  <c r="AI13" i="2" l="1"/>
  <c r="AJ13" i="2" s="1"/>
  <c r="AO34" i="2"/>
  <c r="AP34" i="2" s="1"/>
  <c r="AD24" i="2"/>
  <c r="J11" i="3" s="1"/>
  <c r="J12" i="3" s="1"/>
  <c r="AJ42" i="2"/>
  <c r="AJ43" i="2" s="1"/>
  <c r="AJ44" i="2" s="1"/>
  <c r="L17" i="3" s="1"/>
  <c r="L18" i="3" s="1"/>
  <c r="AO30" i="2"/>
  <c r="AL41" i="2"/>
  <c r="AM30" i="2"/>
  <c r="AM42" i="2" s="1"/>
  <c r="AM43" i="2" s="1"/>
  <c r="AM44" i="2" s="1"/>
  <c r="M17" i="3" s="1"/>
  <c r="M18" i="3" s="1"/>
  <c r="AO12" i="2"/>
  <c r="AP12" i="2" s="1"/>
  <c r="AL13" i="2"/>
  <c r="AM13" i="2" s="1"/>
  <c r="AJ22" i="2"/>
  <c r="AJ23" i="2" s="1"/>
  <c r="AO33" i="2"/>
  <c r="AP33" i="2" s="1"/>
  <c r="AL11" i="2"/>
  <c r="AM11" i="2" s="1"/>
  <c r="AG24" i="2"/>
  <c r="K11" i="3" s="1"/>
  <c r="K12" i="3" s="1"/>
  <c r="AO40" i="2"/>
  <c r="N16" i="3" s="1"/>
  <c r="O16" i="3" s="1"/>
  <c r="AP29" i="2"/>
  <c r="AM14" i="2"/>
  <c r="AO14" i="2"/>
  <c r="AP14" i="2" s="1"/>
  <c r="AO20" i="2"/>
  <c r="N10" i="3" s="1"/>
  <c r="O10" i="3" s="1"/>
  <c r="AP9" i="2"/>
  <c r="AO11" i="2" l="1"/>
  <c r="AP11" i="2" s="1"/>
  <c r="AM22" i="2"/>
  <c r="AM23" i="2" s="1"/>
  <c r="AM24" i="2" s="1"/>
  <c r="M11" i="3" s="1"/>
  <c r="M12" i="3" s="1"/>
  <c r="AO13" i="2"/>
  <c r="AP13" i="2" s="1"/>
  <c r="AO41" i="2"/>
  <c r="AP30" i="2"/>
  <c r="AP42" i="2" s="1"/>
  <c r="AJ24" i="2"/>
  <c r="L11" i="3" s="1"/>
  <c r="L12" i="3" s="1"/>
  <c r="AP22" i="2" l="1"/>
  <c r="AP23" i="2" s="1"/>
  <c r="F23" i="2" s="1"/>
  <c r="AP43" i="2"/>
  <c r="F43" i="2" s="1"/>
  <c r="G43" i="2" s="1"/>
  <c r="H43" i="2" s="1"/>
  <c r="F42" i="2"/>
  <c r="AP24" i="2" l="1"/>
  <c r="AP44" i="2"/>
  <c r="N17" i="3" s="1"/>
  <c r="F22" i="2"/>
  <c r="F44" i="2"/>
  <c r="G44" i="2" s="1"/>
  <c r="H44" i="2" s="1"/>
  <c r="N11" i="3"/>
  <c r="F24" i="2"/>
  <c r="N18" i="3"/>
  <c r="O18" i="3" s="1"/>
  <c r="O17" i="3"/>
  <c r="N12" i="3" l="1"/>
  <c r="O12" i="3" s="1"/>
  <c r="O11" i="3"/>
</calcChain>
</file>

<file path=xl/sharedStrings.xml><?xml version="1.0" encoding="utf-8"?>
<sst xmlns="http://schemas.openxmlformats.org/spreadsheetml/2006/main" count="217" uniqueCount="88">
  <si>
    <t>CPT Code</t>
  </si>
  <si>
    <t>Patients</t>
  </si>
  <si>
    <t>Total Patient Population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</si>
  <si>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</si>
  <si>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</si>
  <si>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</si>
  <si>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</si>
  <si>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</si>
  <si>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</si>
  <si>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</si>
  <si>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</si>
  <si>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</si>
  <si>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</si>
  <si>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</si>
  <si>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</si>
  <si>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Short Descriptor</t>
  </si>
  <si>
    <t>MCR Fee Schedule</t>
  </si>
  <si>
    <t>% Usage     (% pts)</t>
  </si>
  <si>
    <t>Billing X / Yr</t>
  </si>
  <si>
    <t>Allowed</t>
  </si>
  <si>
    <t>% of total Patients</t>
  </si>
  <si>
    <t>Patient / Encounter #</t>
  </si>
  <si>
    <t xml:space="preserve">Revenue </t>
  </si>
  <si>
    <t>Eval &amp; Mgmt Visit</t>
  </si>
  <si>
    <t>Annually </t>
  </si>
  <si>
    <t>Health Risk Assessment</t>
  </si>
  <si>
    <t>G0396</t>
  </si>
  <si>
    <t>Alcohol and/or substance (other than tobacco) abuse Screen</t>
  </si>
  <si>
    <t>Psycho testing admin by comp</t>
  </si>
  <si>
    <t>G0444</t>
  </si>
  <si>
    <t>Depression screen annual</t>
  </si>
  <si>
    <t>3288F</t>
  </si>
  <si>
    <t>Fall Risk Screening</t>
  </si>
  <si>
    <t>99354/357/358</t>
  </si>
  <si>
    <t>Remote Patient Monitoring</t>
  </si>
  <si>
    <t>monthly</t>
  </si>
  <si>
    <t>Cmplx chron care w/o pt vsit</t>
  </si>
  <si>
    <t>Chron care mgmt srvc 20 min</t>
  </si>
  <si>
    <t>G0459</t>
  </si>
  <si>
    <t>Rx reconciliation</t>
  </si>
  <si>
    <t>Annual Total</t>
  </si>
  <si>
    <t>Encounters</t>
  </si>
  <si>
    <t>Revenue</t>
  </si>
  <si>
    <t>Medify</t>
  </si>
  <si>
    <t>Practice</t>
  </si>
  <si>
    <t>Monthly Revenue Model: Steady State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</si>
  <si>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</si>
  <si>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</si>
  <si>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</si>
  <si>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</si>
  <si>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</si>
  <si>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</si>
  <si>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</si>
  <si>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</si>
  <si>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</si>
  <si>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</si>
  <si>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</si>
  <si>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</si>
  <si>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Per Patient</t>
  </si>
  <si>
    <t>Per Patient / Month</t>
  </si>
  <si>
    <t>Unique Patients</t>
  </si>
  <si>
    <t>Ramp - Up</t>
  </si>
  <si>
    <t>Steady State</t>
  </si>
  <si>
    <t>Assumptions:</t>
  </si>
  <si>
    <t>Reimbursement/Pt</t>
  </si>
  <si>
    <r>
      <rPr>
        <vertAlign val="superscript"/>
        <sz val="9"/>
        <color theme="1"/>
        <rFont val="Montserrat"/>
      </rPr>
      <t>4</t>
    </r>
    <r>
      <rPr>
        <sz val="11"/>
        <color theme="1"/>
        <rFont val="Montserrat"/>
      </rPr>
      <t xml:space="preserve"> Reimbursements average 24 days from billing to payment</t>
    </r>
  </si>
  <si>
    <r>
      <t xml:space="preserve">Eligible Patients </t>
    </r>
    <r>
      <rPr>
        <b/>
        <vertAlign val="superscript"/>
        <sz val="9"/>
        <color theme="1"/>
        <rFont val="Montserrat"/>
      </rPr>
      <t>1</t>
    </r>
  </si>
  <si>
    <r>
      <t xml:space="preserve">RPM Patients </t>
    </r>
    <r>
      <rPr>
        <b/>
        <vertAlign val="superscript"/>
        <sz val="9"/>
        <color theme="1"/>
        <rFont val="Montserrat"/>
      </rPr>
      <t>3</t>
    </r>
  </si>
  <si>
    <r>
      <rPr>
        <vertAlign val="superscript"/>
        <sz val="9"/>
        <color theme="1"/>
        <rFont val="Montserrat"/>
      </rPr>
      <t xml:space="preserve">4 </t>
    </r>
    <r>
      <rPr>
        <sz val="11"/>
        <color theme="1"/>
        <rFont val="Montserrat"/>
      </rPr>
      <t>Net Income</t>
    </r>
  </si>
  <si>
    <r>
      <rPr>
        <vertAlign val="superscript"/>
        <sz val="9"/>
        <color theme="1"/>
        <rFont val="Montserrat"/>
      </rPr>
      <t>4</t>
    </r>
    <r>
      <rPr>
        <sz val="11"/>
        <color theme="1"/>
        <rFont val="Montserrat"/>
      </rPr>
      <t xml:space="preserve"> Net Income reflects expected revenue by Date Of Service month</t>
    </r>
  </si>
  <si>
    <t>Estimated 3-month ramp up period to enroll patients</t>
  </si>
  <si>
    <t>Yr. 1</t>
  </si>
  <si>
    <t>Yr. 2</t>
  </si>
  <si>
    <t>Practice Demographics</t>
  </si>
  <si>
    <t>Eligible Medicare Aged Patients</t>
  </si>
  <si>
    <t>Revenue Split to Medify</t>
  </si>
  <si>
    <t>Revenue Split to Practice</t>
  </si>
  <si>
    <t>% of CCM patients with RPM</t>
  </si>
  <si>
    <r>
      <rPr>
        <vertAlign val="superscript"/>
        <sz val="9"/>
        <color theme="1"/>
        <rFont val="Montserrat"/>
      </rPr>
      <t>4</t>
    </r>
    <r>
      <rPr>
        <sz val="11"/>
        <color theme="1"/>
        <rFont val="Montserrat"/>
      </rPr>
      <t xml:space="preserve"> Represents the net Income to the practice</t>
    </r>
  </si>
  <si>
    <r>
      <t xml:space="preserve">Enrolled CCM Patients </t>
    </r>
    <r>
      <rPr>
        <b/>
        <vertAlign val="superscript"/>
        <sz val="9"/>
        <color theme="1"/>
        <rFont val="Montserrat"/>
      </rPr>
      <t>2</t>
    </r>
  </si>
  <si>
    <r>
      <rPr>
        <vertAlign val="superscript"/>
        <sz val="9"/>
        <color theme="1"/>
        <rFont val="Montserrat"/>
      </rPr>
      <t>1</t>
    </r>
    <r>
      <rPr>
        <sz val="11"/>
        <color theme="1"/>
        <rFont val="Montserrat"/>
      </rPr>
      <t xml:space="preserve"> Eligible Patients - Patient population eligible for services will be based on Medify analysis of patient data</t>
    </r>
  </si>
  <si>
    <r>
      <rPr>
        <vertAlign val="superscript"/>
        <sz val="9"/>
        <color theme="1"/>
        <rFont val="Montserrat"/>
      </rPr>
      <t>2</t>
    </r>
    <r>
      <rPr>
        <sz val="11"/>
        <color theme="1"/>
        <rFont val="Montserrat"/>
      </rPr>
      <t xml:space="preserve"> Enrolled Patients - Based on historical enrollment rate of eligible patients</t>
    </r>
  </si>
  <si>
    <t># of Eligible Patients That Enroll</t>
  </si>
  <si>
    <t># of RPM Patients</t>
  </si>
  <si>
    <t>PRACTICE NAME</t>
  </si>
  <si>
    <r>
      <rPr>
        <vertAlign val="superscript"/>
        <sz val="9"/>
        <color theme="1"/>
        <rFont val="Montserrat"/>
      </rPr>
      <t>3</t>
    </r>
    <r>
      <rPr>
        <sz val="11"/>
        <color theme="1"/>
        <rFont val="Montserrat"/>
      </rPr>
      <t xml:space="preserve"> RPM Patients - 30% of patients receive remote monitoring devices based on historical average of Medify practices</t>
    </r>
  </si>
  <si>
    <t>* The proforma is an estimate based on historical data of certain geographical areas and does not represent actual reimbursements that will be made to the practice.</t>
  </si>
  <si>
    <t>Clilck on the Model tab below to see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</si>
</sst>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u val="singleAccounting"/>
      <sz val="12"/>
      <color theme="1"/>
      <name val="Montserrat"/>
    </font>
    <font>
      <b/>
      <u/>
      <sz val="11"/>
      <color theme="1"/>
      <name val="Montserrat"/>
    </font>
    <font>
      <b/>
      <vertAlign val="superscript"/>
      <sz val="9"/>
      <color theme="1"/>
      <name val="Montserrat"/>
    </font>
    <font>
      <vertAlign val="superscript"/>
      <sz val="9"/>
      <color theme="1"/>
      <name val="Montserrat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4" applyFont="1" applyAlignment="1">
      <alignment vertical="top"/>
    </xf>
    <xf numFmtId="0" fontId="4" fillId="0" borderId="0" xfId="4"/>
    <xf numFmtId="3" fontId="6" fillId="0" borderId="0" xfId="4" applyNumberFormat="1" applyFont="1" applyAlignment="1">
      <alignment horizontal="center"/>
    </xf>
    <xf numFmtId="0" fontId="3" fillId="0" borderId="0" xfId="4" applyFont="1"/>
    <xf numFmtId="9" fontId="0" fillId="0" borderId="0" xfId="5" applyFont="1"/>
    <xf numFmtId="0" fontId="4" fillId="0" borderId="0" xfId="4" applyAlignment="1">
      <alignment horizontal="center"/>
    </xf>
    <xf numFmtId="0" fontId="3" fillId="0" borderId="0" xfId="4" applyFont="1" applyAlignment="1">
      <alignment wrapText="1"/>
    </xf>
    <xf numFmtId="0" fontId="4" fillId="0" borderId="0" xfId="4" applyAlignment="1">
      <alignment horizontal="center" vertical="top"/>
    </xf>
    <xf numFmtId="164" fontId="4" fillId="0" borderId="0" xfId="4" applyNumberFormat="1" applyAlignment="1">
      <alignment horizontal="center"/>
    </xf>
    <xf numFmtId="9" fontId="6" fillId="0" borderId="0" xfId="5" applyFont="1" applyFill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7" fillId="0" borderId="0" xfId="4" applyFont="1" applyAlignment="1">
      <alignment horizontal="center" vertical="top" wrapText="1"/>
    </xf>
    <xf numFmtId="44" fontId="7" fillId="0" borderId="0" xfId="6" applyFont="1" applyAlignment="1">
      <alignment horizontal="center" vertical="top"/>
    </xf>
    <xf numFmtId="0" fontId="7" fillId="0" borderId="0" xfId="4" applyFont="1" applyAlignment="1">
      <alignment horizontal="center" vertical="top"/>
    </xf>
    <xf numFmtId="0" fontId="8" fillId="0" borderId="4" xfId="4" applyFont="1" applyBorder="1" applyAlignment="1">
      <alignment vertical="top" wrapText="1"/>
    </xf>
    <xf numFmtId="0" fontId="8" fillId="0" borderId="4" xfId="4" applyFont="1" applyBorder="1" applyAlignment="1">
      <alignment horizontal="center" vertical="top" wrapText="1"/>
    </xf>
    <xf numFmtId="0" fontId="8" fillId="0" borderId="5" xfId="4" applyFont="1" applyBorder="1" applyAlignment="1">
      <alignment horizontal="center" vertical="top" wrapText="1"/>
    </xf>
    <xf numFmtId="165" fontId="9" fillId="2" borderId="6" xfId="4" applyNumberFormat="1" applyFont="1" applyFill="1" applyBorder="1" applyAlignment="1">
      <alignment horizontal="center" vertical="top" wrapText="1"/>
    </xf>
    <xf numFmtId="0" fontId="9" fillId="2" borderId="4" xfId="4" applyFont="1" applyFill="1" applyBorder="1" applyAlignment="1">
      <alignment horizontal="center" vertical="top" wrapText="1"/>
    </xf>
    <xf numFmtId="0" fontId="9" fillId="2" borderId="7" xfId="4" applyFont="1" applyFill="1" applyBorder="1" applyAlignment="1">
      <alignment horizontal="center" vertical="top"/>
    </xf>
    <xf numFmtId="165" fontId="9" fillId="0" borderId="6" xfId="4" applyNumberFormat="1" applyFont="1" applyBorder="1" applyAlignment="1">
      <alignment horizontal="center" vertical="top" wrapText="1"/>
    </xf>
    <xf numFmtId="0" fontId="9" fillId="0" borderId="4" xfId="4" applyFont="1" applyBorder="1" applyAlignment="1">
      <alignment horizontal="center" vertical="top" wrapText="1"/>
    </xf>
    <xf numFmtId="0" fontId="9" fillId="0" borderId="7" xfId="4" applyFont="1" applyBorder="1" applyAlignment="1">
      <alignment horizontal="center" vertical="top"/>
    </xf>
    <xf numFmtId="1" fontId="9" fillId="2" borderId="4" xfId="4" applyNumberFormat="1" applyFont="1" applyFill="1" applyBorder="1" applyAlignment="1">
      <alignment horizontal="center" vertical="top" wrapText="1"/>
    </xf>
    <xf numFmtId="164" fontId="9" fillId="2" borderId="7" xfId="4" applyNumberFormat="1" applyFont="1" applyFill="1" applyBorder="1" applyAlignment="1">
      <alignment horizontal="center" vertical="top"/>
    </xf>
    <xf numFmtId="164" fontId="9" fillId="0" borderId="7" xfId="4" applyNumberFormat="1" applyFont="1" applyBorder="1" applyAlignment="1">
      <alignment horizontal="center" vertical="top"/>
    </xf>
    <xf numFmtId="0" fontId="4" fillId="0" borderId="0" xfId="4" applyAlignment="1">
      <alignment vertical="top"/>
    </xf>
    <xf numFmtId="0" fontId="9" fillId="0" borderId="1" xfId="4" applyFont="1" applyBorder="1" applyAlignment="1">
      <alignment horizontal="center" vertical="top"/>
    </xf>
    <xf numFmtId="0" fontId="9" fillId="0" borderId="2" xfId="4" applyFont="1" applyBorder="1" applyAlignment="1">
      <alignment vertical="top" wrapText="1"/>
    </xf>
    <xf numFmtId="44" fontId="9" fillId="0" borderId="2" xfId="6" applyFont="1" applyBorder="1" applyAlignment="1">
      <alignment vertical="top"/>
    </xf>
    <xf numFmtId="9" fontId="9" fillId="0" borderId="2" xfId="5" applyFont="1" applyBorder="1" applyAlignment="1">
      <alignment horizontal="center" vertical="top"/>
    </xf>
    <xf numFmtId="166" fontId="9" fillId="0" borderId="8" xfId="7" applyNumberFormat="1" applyFont="1" applyBorder="1" applyAlignment="1">
      <alignment vertical="top"/>
    </xf>
    <xf numFmtId="164" fontId="9" fillId="0" borderId="3" xfId="4" applyNumberFormat="1" applyFont="1" applyBorder="1" applyAlignment="1">
      <alignment horizontal="center" vertical="top" wrapText="1"/>
    </xf>
    <xf numFmtId="165" fontId="9" fillId="2" borderId="1" xfId="5" applyNumberFormat="1" applyFont="1" applyFill="1" applyBorder="1" applyAlignment="1">
      <alignment horizontal="center" vertical="top"/>
    </xf>
    <xf numFmtId="1" fontId="9" fillId="2" borderId="2" xfId="5" applyNumberFormat="1" applyFont="1" applyFill="1" applyBorder="1" applyAlignment="1">
      <alignment horizontal="center" vertical="top"/>
    </xf>
    <xf numFmtId="164" fontId="9" fillId="2" borderId="3" xfId="4" applyNumberFormat="1" applyFont="1" applyFill="1" applyBorder="1" applyAlignment="1">
      <alignment horizontal="center" vertical="top"/>
    </xf>
    <xf numFmtId="165" fontId="9" fillId="0" borderId="1" xfId="5" applyNumberFormat="1" applyFont="1" applyBorder="1" applyAlignment="1">
      <alignment horizontal="center" vertical="top"/>
    </xf>
    <xf numFmtId="1" fontId="9" fillId="0" borderId="2" xfId="4" applyNumberFormat="1" applyFont="1" applyBorder="1" applyAlignment="1">
      <alignment horizontal="center" vertical="top"/>
    </xf>
    <xf numFmtId="164" fontId="9" fillId="0" borderId="3" xfId="4" applyNumberFormat="1" applyFont="1" applyBorder="1" applyAlignment="1">
      <alignment horizontal="center" vertical="top"/>
    </xf>
    <xf numFmtId="1" fontId="9" fillId="2" borderId="2" xfId="4" applyNumberFormat="1" applyFont="1" applyFill="1" applyBorder="1" applyAlignment="1">
      <alignment horizontal="center" vertical="top"/>
    </xf>
    <xf numFmtId="164" fontId="9" fillId="0" borderId="3" xfId="4" applyNumberFormat="1" applyFont="1" applyBorder="1" applyAlignment="1">
      <alignment horizontal="center"/>
    </xf>
    <xf numFmtId="164" fontId="9" fillId="2" borderId="3" xfId="4" applyNumberFormat="1" applyFont="1" applyFill="1" applyBorder="1" applyAlignment="1">
      <alignment horizontal="center"/>
    </xf>
    <xf numFmtId="0" fontId="9" fillId="0" borderId="9" xfId="4" applyFont="1" applyBorder="1" applyAlignment="1">
      <alignment horizontal="center" vertical="top"/>
    </xf>
    <xf numFmtId="0" fontId="9" fillId="0" borderId="10" xfId="4" applyFont="1" applyBorder="1" applyAlignment="1">
      <alignment vertical="top" wrapText="1"/>
    </xf>
    <xf numFmtId="44" fontId="9" fillId="0" borderId="10" xfId="6" applyFont="1" applyBorder="1" applyAlignment="1">
      <alignment vertical="top"/>
    </xf>
    <xf numFmtId="9" fontId="9" fillId="0" borderId="10" xfId="5" applyFont="1" applyBorder="1" applyAlignment="1">
      <alignment horizontal="center" vertical="top"/>
    </xf>
    <xf numFmtId="166" fontId="9" fillId="0" borderId="11" xfId="7" applyNumberFormat="1" applyFont="1" applyBorder="1" applyAlignment="1">
      <alignment vertical="top"/>
    </xf>
    <xf numFmtId="164" fontId="9" fillId="0" borderId="12" xfId="4" applyNumberFormat="1" applyFont="1" applyBorder="1" applyAlignment="1">
      <alignment horizontal="center" vertical="top" wrapText="1"/>
    </xf>
    <xf numFmtId="165" fontId="9" fillId="2" borderId="9" xfId="5" applyNumberFormat="1" applyFont="1" applyFill="1" applyBorder="1" applyAlignment="1">
      <alignment horizontal="center" vertical="top"/>
    </xf>
    <xf numFmtId="1" fontId="9" fillId="2" borderId="10" xfId="5" applyNumberFormat="1" applyFont="1" applyFill="1" applyBorder="1" applyAlignment="1">
      <alignment horizontal="center" vertical="top"/>
    </xf>
    <xf numFmtId="164" fontId="9" fillId="2" borderId="12" xfId="4" applyNumberFormat="1" applyFont="1" applyFill="1" applyBorder="1" applyAlignment="1">
      <alignment horizontal="center" vertical="top"/>
    </xf>
    <xf numFmtId="165" fontId="9" fillId="0" borderId="9" xfId="5" applyNumberFormat="1" applyFont="1" applyBorder="1" applyAlignment="1">
      <alignment horizontal="center" vertical="top"/>
    </xf>
    <xf numFmtId="1" fontId="9" fillId="0" borderId="10" xfId="4" applyNumberFormat="1" applyFont="1" applyBorder="1" applyAlignment="1">
      <alignment horizontal="center" vertical="top"/>
    </xf>
    <xf numFmtId="164" fontId="9" fillId="0" borderId="12" xfId="4" applyNumberFormat="1" applyFont="1" applyBorder="1" applyAlignment="1">
      <alignment horizontal="center" vertical="top"/>
    </xf>
    <xf numFmtId="1" fontId="9" fillId="2" borderId="10" xfId="4" applyNumberFormat="1" applyFont="1" applyFill="1" applyBorder="1" applyAlignment="1">
      <alignment horizontal="center" vertical="top"/>
    </xf>
    <xf numFmtId="164" fontId="9" fillId="0" borderId="12" xfId="4" applyNumberFormat="1" applyFont="1" applyBorder="1" applyAlignment="1">
      <alignment horizontal="center"/>
    </xf>
    <xf numFmtId="164" fontId="9" fillId="2" borderId="12" xfId="4" applyNumberFormat="1" applyFont="1" applyFill="1" applyBorder="1" applyAlignment="1">
      <alignment horizontal="center"/>
    </xf>
    <xf numFmtId="0" fontId="9" fillId="0" borderId="13" xfId="4" applyFont="1" applyBorder="1" applyAlignment="1">
      <alignment horizontal="center" vertical="top"/>
    </xf>
    <xf numFmtId="0" fontId="9" fillId="0" borderId="14" xfId="4" applyFont="1" applyBorder="1" applyAlignment="1">
      <alignment vertical="top" wrapText="1"/>
    </xf>
    <xf numFmtId="44" fontId="9" fillId="0" borderId="14" xfId="6" applyFont="1" applyBorder="1" applyAlignment="1">
      <alignment vertical="top"/>
    </xf>
    <xf numFmtId="9" fontId="9" fillId="0" borderId="14" xfId="5" applyFont="1" applyBorder="1" applyAlignment="1">
      <alignment horizontal="center" vertical="top"/>
    </xf>
    <xf numFmtId="166" fontId="9" fillId="0" borderId="15" xfId="7" applyNumberFormat="1" applyFont="1" applyBorder="1" applyAlignment="1">
      <alignment vertical="top"/>
    </xf>
    <xf numFmtId="164" fontId="9" fillId="0" borderId="16" xfId="4" applyNumberFormat="1" applyFont="1" applyBorder="1" applyAlignment="1">
      <alignment horizontal="center" vertical="top" wrapText="1"/>
    </xf>
    <xf numFmtId="165" fontId="9" fillId="2" borderId="13" xfId="5" applyNumberFormat="1" applyFont="1" applyFill="1" applyBorder="1" applyAlignment="1">
      <alignment horizontal="center" vertical="top"/>
    </xf>
    <xf numFmtId="1" fontId="9" fillId="2" borderId="14" xfId="5" applyNumberFormat="1" applyFont="1" applyFill="1" applyBorder="1" applyAlignment="1">
      <alignment horizontal="center" vertical="top"/>
    </xf>
    <xf numFmtId="164" fontId="9" fillId="2" borderId="16" xfId="4" applyNumberFormat="1" applyFont="1" applyFill="1" applyBorder="1" applyAlignment="1">
      <alignment horizontal="center" vertical="top"/>
    </xf>
    <xf numFmtId="165" fontId="9" fillId="0" borderId="13" xfId="5" applyNumberFormat="1" applyFont="1" applyBorder="1" applyAlignment="1">
      <alignment horizontal="center" vertical="top"/>
    </xf>
    <xf numFmtId="1" fontId="9" fillId="0" borderId="14" xfId="4" applyNumberFormat="1" applyFont="1" applyBorder="1" applyAlignment="1">
      <alignment horizontal="center" vertical="top"/>
    </xf>
    <xf numFmtId="164" fontId="9" fillId="0" borderId="16" xfId="4" applyNumberFormat="1" applyFont="1" applyBorder="1" applyAlignment="1">
      <alignment horizontal="center" vertical="top"/>
    </xf>
    <xf numFmtId="1" fontId="9" fillId="2" borderId="14" xfId="4" applyNumberFormat="1" applyFont="1" applyFill="1" applyBorder="1" applyAlignment="1">
      <alignment horizontal="center" vertical="top"/>
    </xf>
    <xf numFmtId="164" fontId="9" fillId="0" borderId="16" xfId="4" applyNumberFormat="1" applyFont="1" applyBorder="1" applyAlignment="1">
      <alignment horizontal="center"/>
    </xf>
    <xf numFmtId="164" fontId="9" fillId="2" borderId="16" xfId="4" applyNumberFormat="1" applyFont="1" applyFill="1" applyBorder="1" applyAlignment="1">
      <alignment horizontal="center"/>
    </xf>
    <xf numFmtId="0" fontId="9" fillId="0" borderId="17" xfId="4" applyFont="1" applyBorder="1" applyAlignment="1">
      <alignment horizontal="center" vertical="top" wrapText="1"/>
    </xf>
    <xf numFmtId="0" fontId="9" fillId="0" borderId="18" xfId="4" applyFont="1" applyBorder="1" applyAlignment="1">
      <alignment vertical="top" wrapText="1"/>
    </xf>
    <xf numFmtId="44" fontId="9" fillId="0" borderId="18" xfId="6" applyFont="1" applyBorder="1" applyAlignment="1">
      <alignment vertical="top"/>
    </xf>
    <xf numFmtId="9" fontId="9" fillId="0" borderId="18" xfId="5" applyFont="1" applyBorder="1" applyAlignment="1">
      <alignment horizontal="center" vertical="top"/>
    </xf>
    <xf numFmtId="166" fontId="9" fillId="0" borderId="19" xfId="7" applyNumberFormat="1" applyFont="1" applyBorder="1" applyAlignment="1">
      <alignment vertical="top"/>
    </xf>
    <xf numFmtId="164" fontId="9" fillId="0" borderId="20" xfId="4" applyNumberFormat="1" applyFont="1" applyBorder="1" applyAlignment="1">
      <alignment horizontal="center" vertical="top" wrapText="1"/>
    </xf>
    <xf numFmtId="165" fontId="9" fillId="2" borderId="17" xfId="5" applyNumberFormat="1" applyFont="1" applyFill="1" applyBorder="1" applyAlignment="1">
      <alignment horizontal="center" vertical="top"/>
    </xf>
    <xf numFmtId="1" fontId="9" fillId="2" borderId="18" xfId="5" applyNumberFormat="1" applyFont="1" applyFill="1" applyBorder="1" applyAlignment="1">
      <alignment horizontal="center" vertical="top"/>
    </xf>
    <xf numFmtId="164" fontId="9" fillId="2" borderId="20" xfId="4" applyNumberFormat="1" applyFont="1" applyFill="1" applyBorder="1" applyAlignment="1">
      <alignment horizontal="center" vertical="top"/>
    </xf>
    <xf numFmtId="165" fontId="9" fillId="0" borderId="17" xfId="5" applyNumberFormat="1" applyFont="1" applyBorder="1" applyAlignment="1">
      <alignment horizontal="center" vertical="top"/>
    </xf>
    <xf numFmtId="1" fontId="9" fillId="0" borderId="18" xfId="4" applyNumberFormat="1" applyFont="1" applyBorder="1" applyAlignment="1">
      <alignment horizontal="center" vertical="top"/>
    </xf>
    <xf numFmtId="164" fontId="9" fillId="0" borderId="20" xfId="4" applyNumberFormat="1" applyFont="1" applyBorder="1" applyAlignment="1">
      <alignment horizontal="center" vertical="top"/>
    </xf>
    <xf numFmtId="1" fontId="9" fillId="2" borderId="18" xfId="4" applyNumberFormat="1" applyFont="1" applyFill="1" applyBorder="1" applyAlignment="1">
      <alignment horizontal="center" vertical="top"/>
    </xf>
    <xf numFmtId="44" fontId="9" fillId="0" borderId="21" xfId="6" applyFont="1" applyBorder="1" applyAlignment="1">
      <alignment vertical="top"/>
    </xf>
    <xf numFmtId="9" fontId="9" fillId="0" borderId="21" xfId="5" applyFont="1" applyBorder="1" applyAlignment="1">
      <alignment horizontal="center" vertical="top"/>
    </xf>
    <xf numFmtId="166" fontId="9" fillId="0" borderId="22" xfId="7" applyNumberFormat="1" applyFont="1" applyBorder="1" applyAlignment="1">
      <alignment vertical="top"/>
    </xf>
    <xf numFmtId="164" fontId="9" fillId="0" borderId="23" xfId="4" applyNumberFormat="1" applyFont="1" applyBorder="1" applyAlignment="1">
      <alignment horizontal="center" vertical="top" wrapText="1"/>
    </xf>
    <xf numFmtId="165" fontId="9" fillId="2" borderId="24" xfId="5" applyNumberFormat="1" applyFont="1" applyFill="1" applyBorder="1" applyAlignment="1">
      <alignment horizontal="center" vertical="top"/>
    </xf>
    <xf numFmtId="164" fontId="9" fillId="2" borderId="23" xfId="4" applyNumberFormat="1" applyFont="1" applyFill="1" applyBorder="1" applyAlignment="1">
      <alignment horizontal="center" vertical="top"/>
    </xf>
    <xf numFmtId="165" fontId="9" fillId="0" borderId="24" xfId="5" applyNumberFormat="1" applyFont="1" applyBorder="1" applyAlignment="1">
      <alignment horizontal="center" vertical="top"/>
    </xf>
    <xf numFmtId="164" fontId="9" fillId="0" borderId="23" xfId="4" applyNumberFormat="1" applyFont="1" applyBorder="1" applyAlignment="1">
      <alignment horizontal="center" vertical="top"/>
    </xf>
    <xf numFmtId="1" fontId="9" fillId="2" borderId="21" xfId="4" applyNumberFormat="1" applyFont="1" applyFill="1" applyBorder="1" applyAlignment="1">
      <alignment horizontal="center" vertical="top"/>
    </xf>
    <xf numFmtId="1" fontId="9" fillId="0" borderId="21" xfId="4" applyNumberFormat="1" applyFont="1" applyBorder="1" applyAlignment="1">
      <alignment horizontal="center" vertical="top"/>
    </xf>
    <xf numFmtId="1" fontId="9" fillId="0" borderId="10" xfId="4" applyNumberFormat="1" applyFont="1" applyBorder="1" applyAlignment="1">
      <alignment horizontal="center"/>
    </xf>
    <xf numFmtId="1" fontId="9" fillId="2" borderId="10" xfId="4" applyNumberFormat="1" applyFont="1" applyFill="1" applyBorder="1" applyAlignment="1">
      <alignment horizontal="center"/>
    </xf>
    <xf numFmtId="166" fontId="9" fillId="0" borderId="14" xfId="7" applyNumberFormat="1" applyFont="1" applyBorder="1" applyAlignment="1">
      <alignment vertical="top"/>
    </xf>
    <xf numFmtId="1" fontId="9" fillId="0" borderId="14" xfId="4" applyNumberFormat="1" applyFont="1" applyBorder="1" applyAlignment="1">
      <alignment horizontal="center"/>
    </xf>
    <xf numFmtId="1" fontId="9" fillId="2" borderId="14" xfId="4" applyNumberFormat="1" applyFont="1" applyFill="1" applyBorder="1" applyAlignment="1">
      <alignment horizont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vertical="top" wrapText="1"/>
    </xf>
    <xf numFmtId="44" fontId="9" fillId="0" borderId="0" xfId="6" applyFont="1" applyAlignment="1">
      <alignment vertical="top"/>
    </xf>
    <xf numFmtId="0" fontId="9" fillId="0" borderId="0" xfId="4" applyFont="1" applyAlignment="1">
      <alignment horizontal="center" vertical="top"/>
    </xf>
    <xf numFmtId="166" fontId="9" fillId="0" borderId="0" xfId="7" applyNumberFormat="1" applyFont="1" applyAlignment="1">
      <alignment vertical="top"/>
    </xf>
    <xf numFmtId="165" fontId="8" fillId="0" borderId="0" xfId="4" applyNumberFormat="1" applyFont="1" applyAlignment="1">
      <alignment horizontal="right" vertical="top"/>
    </xf>
    <xf numFmtId="1" fontId="8" fillId="0" borderId="0" xfId="4" applyNumberFormat="1" applyFont="1" applyAlignment="1">
      <alignment horizontal="center" vertical="top"/>
    </xf>
    <xf numFmtId="164" fontId="9" fillId="0" borderId="0" xfId="4" applyNumberFormat="1" applyFont="1" applyAlignment="1">
      <alignment horizontal="center" vertical="top"/>
    </xf>
    <xf numFmtId="164" fontId="9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8" fillId="0" borderId="0" xfId="4" applyNumberFormat="1" applyFont="1" applyAlignment="1">
      <alignment horizontal="center" vertical="top"/>
    </xf>
    <xf numFmtId="44" fontId="4" fillId="0" borderId="0" xfId="4" applyNumberFormat="1"/>
    <xf numFmtId="164" fontId="8" fillId="0" borderId="0" xfId="4" applyNumberFormat="1" applyFont="1" applyAlignment="1">
      <alignment horizontal="center" vertical="top"/>
    </xf>
    <xf numFmtId="164" fontId="8" fillId="0" borderId="0" xfId="4" applyNumberFormat="1" applyFont="1" applyAlignment="1">
      <alignment horizontal="center"/>
    </xf>
    <xf numFmtId="44" fontId="8" fillId="0" borderId="0" xfId="4" applyNumberFormat="1" applyFont="1" applyAlignment="1">
      <alignment horizontal="right"/>
    </xf>
    <xf numFmtId="0" fontId="9" fillId="0" borderId="0" xfId="4" applyFont="1"/>
    <xf numFmtId="0" fontId="8" fillId="0" borderId="0" xfId="4" applyFont="1" applyAlignment="1">
      <alignment horizontal="right"/>
    </xf>
    <xf numFmtId="164" fontId="9" fillId="0" borderId="0" xfId="6" applyNumberFormat="1" applyFont="1" applyFill="1" applyAlignment="1">
      <alignment horizontal="center" vertical="top"/>
    </xf>
    <xf numFmtId="9" fontId="10" fillId="0" borderId="0" xfId="4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44" fontId="9" fillId="0" borderId="0" xfId="6" applyFont="1" applyFill="1" applyBorder="1" applyAlignment="1">
      <alignment vertical="top"/>
    </xf>
    <xf numFmtId="165" fontId="8" fillId="0" borderId="0" xfId="4" applyNumberFormat="1" applyFont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4" fillId="0" borderId="0" xfId="4" applyFont="1" applyAlignment="1">
      <alignment horizontal="center" vertical="top"/>
    </xf>
    <xf numFmtId="0" fontId="14" fillId="0" borderId="0" xfId="4" applyFont="1" applyAlignment="1">
      <alignment horizontal="center"/>
    </xf>
    <xf numFmtId="166" fontId="12" fillId="0" borderId="0" xfId="3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164" fontId="12" fillId="0" borderId="0" xfId="1" applyNumberFormat="1" applyFont="1"/>
    <xf numFmtId="164" fontId="12" fillId="0" borderId="0" xfId="0" applyNumberFormat="1" applyFont="1"/>
    <xf numFmtId="44" fontId="12" fillId="0" borderId="0" xfId="1" applyFont="1"/>
    <xf numFmtId="0" fontId="14" fillId="0" borderId="0" xfId="0" applyFont="1"/>
    <xf numFmtId="0" fontId="11" fillId="0" borderId="0" xfId="0" applyFont="1" applyAlignment="1">
      <alignment horizontal="left"/>
    </xf>
    <xf numFmtId="166" fontId="12" fillId="0" borderId="0" xfId="3" applyNumberFormat="1" applyFont="1" applyAlignment="1">
      <alignment horizontal="right"/>
    </xf>
    <xf numFmtId="9" fontId="9" fillId="0" borderId="0" xfId="2" applyFont="1" applyAlignment="1">
      <alignment horizontal="center"/>
    </xf>
    <xf numFmtId="44" fontId="9" fillId="0" borderId="0" xfId="1" applyFont="1" applyAlignment="1">
      <alignment horizontal="center"/>
    </xf>
    <xf numFmtId="0" fontId="11" fillId="0" borderId="0" xfId="0" applyFont="1"/>
    <xf numFmtId="14" fontId="12" fillId="0" borderId="0" xfId="0" applyNumberFormat="1" applyFont="1"/>
    <xf numFmtId="3" fontId="6" fillId="0" borderId="25" xfId="4" applyNumberFormat="1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2" borderId="1" xfId="4" applyFont="1" applyFill="1" applyBorder="1" applyAlignment="1">
      <alignment horizontal="center" vertical="top"/>
    </xf>
    <xf numFmtId="0" fontId="7" fillId="2" borderId="2" xfId="4" applyFont="1" applyFill="1" applyBorder="1" applyAlignment="1">
      <alignment horizontal="center" vertical="top"/>
    </xf>
    <xf numFmtId="0" fontId="7" fillId="2" borderId="3" xfId="4" applyFont="1" applyFill="1" applyBorder="1" applyAlignment="1">
      <alignment horizontal="center" vertical="top"/>
    </xf>
    <xf numFmtId="0" fontId="7" fillId="0" borderId="1" xfId="4" applyFont="1" applyBorder="1" applyAlignment="1">
      <alignment horizontal="center" vertical="top"/>
    </xf>
    <xf numFmtId="0" fontId="7" fillId="0" borderId="2" xfId="4" applyFont="1" applyBorder="1" applyAlignment="1">
      <alignment horizontal="center" vertical="top"/>
    </xf>
    <xf numFmtId="0" fontId="7" fillId="0" borderId="3" xfId="4" applyFont="1" applyBorder="1" applyAlignment="1">
      <alignment horizontal="center" vertical="top"/>
    </xf>
    <xf numFmtId="0" fontId="7" fillId="2" borderId="1" xfId="4" applyFont="1" applyFill="1" applyBorder="1" applyAlignment="1">
      <alignment horizontal="center"/>
    </xf>
    <xf numFmtId="0" fontId="7" fillId="2" borderId="2" xfId="4" applyFont="1" applyFill="1" applyBorder="1" applyAlignment="1">
      <alignment horizontal="center"/>
    </xf>
    <xf numFmtId="0" fontId="7" fillId="2" borderId="3" xfId="4" applyFont="1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7" fillId="0" borderId="0" xfId="0" applyFont="1"/>
  </cellXfs>
  <cellStyles count="12">
    <cellStyle name="Comma" xfId="3" builtinId="3"/>
    <cellStyle name="Comma 2" xfId="7" xr:uid="{1D50BF3C-80ED-478A-BD32-F1EEA36446BD}"/>
    <cellStyle name="Comma 3" xfId="11" xr:uid="{CBEFEF88-1BDF-AB46-A100-CED7A81EFE76}"/>
    <cellStyle name="Currency" xfId="1" builtinId="4"/>
    <cellStyle name="Currency 2" xfId="6" xr:uid="{AD6B0376-5182-4431-B72C-69A529EDB7F4}"/>
    <cellStyle name="Currency 3" xfId="9" xr:uid="{2F2C0066-5728-2C4F-A60C-B18EB9FBB905}"/>
    <cellStyle name="Normal" xfId="0" builtinId="0"/>
    <cellStyle name="Normal 2" xfId="4" xr:uid="{CABD65B0-E281-4030-981F-9580BF929813}"/>
    <cellStyle name="Normal 3" xfId="8" xr:uid="{92C5C85E-0EEA-C240-B5F2-31756C641531}"/>
    <cellStyle name="Percent" xfId="2" builtinId="5"/>
    <cellStyle name="Percent 2" xfId="5" xr:uid="{F581859B-109D-4AC5-982E-A084D8A2C20C}"/>
    <cellStyle name="Percent 3" xfId="10" xr:uid="{F32D0866-F45A-A645-A223-8092B0E3FD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F19D-C8C0-4620-A9E0-8F0FB9CAEC73}">
  <sheetPr codeName="Sheet1"/>
  <dimension ref="B3:C11"/>
  <sheetViews>
    <sheetView workbookViewId="0">
      <selection activeCell="B11" sqref="B11"/>
    </sheetView>
  </sheetViews>
  <sheetFormatPr defaultColWidth="8.85546875" defaultRowHeight="15" x14ac:dyDescent="0.25"/>
  <cols>
    <col min="1" max="1" width="2.42578125" customWidth="1"/>
    <col min="2" max="2" width="9.85546875" customWidth="1"/>
    <col min="3" max="3" width="28.42578125" bestFit="1" customWidth="1"/>
  </cols>
  <sheetData>
    <row r="3" spans="2:3" ht="18.75" x14ac:dyDescent="0.25">
      <c r="B3" s="1" t="s">
        <v>73</v>
      </c>
      <c r="C3" s="2"/>
    </row>
    <row r="4" spans="2:3" ht="16.5" thickBot="1" x14ac:dyDescent="0.3">
      <c r="B4" s="3">
        <v>25000</v>
      </c>
      <c r="C4" s="4" t="s">
        <v>2</v>
      </c>
    </row>
    <row r="5" spans="2:3" ht="16.5" thickBot="1" x14ac:dyDescent="0.3">
      <c r="B5" s="141">
        <v>12500</v>
      </c>
      <c r="C5" s="4" t="s">
        <v>74</v>
      </c>
    </row>
    <row r="6" spans="2:3" ht="15.75" x14ac:dyDescent="0.25">
      <c r="B6" s="3">
        <f>B5*0.45</f>
        <v>5625</v>
      </c>
      <c r="C6" s="4" t="s">
        <v>82</v>
      </c>
    </row>
    <row r="7" spans="2:3" ht="15.75" x14ac:dyDescent="0.25">
      <c r="B7" s="10">
        <v>0.3</v>
      </c>
      <c r="C7" s="11" t="s">
        <v>77</v>
      </c>
    </row>
    <row r="8" spans="2:3" ht="15.75" x14ac:dyDescent="0.25">
      <c r="B8" s="3">
        <f>B6*B7</f>
        <v>1687.5</v>
      </c>
      <c r="C8" s="4" t="s">
        <v>83</v>
      </c>
    </row>
    <row r="11" spans="2:3" x14ac:dyDescent="0.25">
      <c r="B11" s="155" t="s">
        <v>87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FC990-DD5C-42A6-A9ED-4DE55CE9CA28}">
  <sheetPr codeName="Sheet2"/>
  <dimension ref="A2:AT60"/>
  <sheetViews>
    <sheetView workbookViewId="0"/>
  </sheetViews>
  <sheetFormatPr defaultColWidth="8.7109375" defaultRowHeight="15" x14ac:dyDescent="0.25"/>
  <cols>
    <col min="1" max="1" width="8" style="2" customWidth="1"/>
    <col min="2" max="2" width="31.42578125" style="2" customWidth="1"/>
    <col min="3" max="3" width="11" style="2" bestFit="1" customWidth="1"/>
    <col min="4" max="4" width="8.7109375" style="2"/>
    <col min="5" max="5" width="6" style="2" customWidth="1"/>
    <col min="6" max="6" width="13.140625" style="2" customWidth="1"/>
    <col min="7" max="7" width="12.140625" style="2" bestFit="1" customWidth="1"/>
    <col min="8" max="8" width="11.140625" style="2" bestFit="1" customWidth="1"/>
    <col min="9" max="9" width="9.28515625" style="2" bestFit="1" customWidth="1"/>
    <col min="10" max="11" width="8.7109375" style="2"/>
    <col min="12" max="12" width="9.28515625" style="2" bestFit="1" customWidth="1"/>
    <col min="13" max="14" width="8.7109375" style="2"/>
    <col min="15" max="15" width="9.28515625" style="2" bestFit="1" customWidth="1"/>
    <col min="16" max="17" width="8.7109375" style="2"/>
    <col min="18" max="18" width="9.28515625" style="2" bestFit="1" customWidth="1"/>
    <col min="19" max="20" width="8.7109375" style="2"/>
    <col min="21" max="21" width="9.28515625" style="2" bestFit="1" customWidth="1"/>
    <col min="22" max="23" width="8.7109375" style="2"/>
    <col min="24" max="24" width="11.140625" style="2" customWidth="1"/>
    <col min="25" max="26" width="8.7109375" style="2"/>
    <col min="27" max="27" width="9.28515625" style="2" bestFit="1" customWidth="1"/>
    <col min="28" max="29" width="8.7109375" style="2"/>
    <col min="30" max="30" width="9.28515625" style="2" bestFit="1" customWidth="1"/>
    <col min="31" max="32" width="8.7109375" style="2"/>
    <col min="33" max="33" width="9.28515625" style="2" bestFit="1" customWidth="1"/>
    <col min="34" max="35" width="8.7109375" style="2"/>
    <col min="36" max="36" width="9.28515625" style="2" bestFit="1" customWidth="1"/>
    <col min="37" max="38" width="8.7109375" style="2"/>
    <col min="39" max="39" width="9.28515625" style="2" bestFit="1" customWidth="1"/>
    <col min="40" max="41" width="8.7109375" style="2"/>
    <col min="42" max="42" width="12.140625" style="2" bestFit="1" customWidth="1"/>
    <col min="43" max="43" width="9.85546875" style="2" bestFit="1" customWidth="1"/>
    <col min="44" max="44" width="10.140625" style="2" bestFit="1" customWidth="1"/>
    <col min="45" max="45" width="13.7109375" style="2" bestFit="1" customWidth="1"/>
    <col min="46" max="16384" width="8.7109375" style="2"/>
  </cols>
  <sheetData>
    <row r="2" spans="1:42" ht="18" customHeight="1" x14ac:dyDescent="0.25">
      <c r="A2" s="10">
        <f>1-A3</f>
        <v>0.65</v>
      </c>
      <c r="B2" s="4" t="s">
        <v>75</v>
      </c>
      <c r="C2" s="4"/>
      <c r="D2" s="4"/>
      <c r="E2" s="1"/>
      <c r="L2" s="5"/>
    </row>
    <row r="3" spans="1:42" ht="15.75" x14ac:dyDescent="0.25">
      <c r="A3" s="10">
        <v>0.35</v>
      </c>
      <c r="B3" s="4" t="s">
        <v>76</v>
      </c>
      <c r="C3" s="4"/>
      <c r="D3" s="4"/>
      <c r="F3" s="6"/>
      <c r="K3" s="7"/>
      <c r="L3" s="7"/>
      <c r="M3" s="8"/>
      <c r="N3" s="8"/>
      <c r="O3" s="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9"/>
      <c r="AB3" s="6"/>
      <c r="AC3" s="6"/>
      <c r="AD3" s="9"/>
      <c r="AE3" s="6"/>
      <c r="AF3" s="6"/>
      <c r="AG3" s="9"/>
      <c r="AH3" s="6"/>
      <c r="AI3" s="6"/>
      <c r="AJ3" s="9"/>
      <c r="AK3" s="6"/>
      <c r="AL3" s="6"/>
      <c r="AM3" s="9"/>
      <c r="AN3" s="6"/>
      <c r="AO3" s="6"/>
      <c r="AP3" s="9"/>
    </row>
    <row r="4" spans="1:42" x14ac:dyDescent="0.25">
      <c r="C4" s="4"/>
      <c r="D4" s="4"/>
      <c r="F4" s="6"/>
      <c r="K4" s="8"/>
      <c r="L4" s="8"/>
      <c r="M4" s="8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9"/>
      <c r="AB4" s="6"/>
      <c r="AC4" s="6"/>
      <c r="AD4" s="9"/>
      <c r="AE4" s="6"/>
      <c r="AF4" s="6"/>
      <c r="AG4" s="9"/>
      <c r="AH4" s="6"/>
      <c r="AI4" s="6"/>
      <c r="AJ4" s="9"/>
      <c r="AK4" s="6"/>
      <c r="AL4" s="6"/>
      <c r="AM4" s="9"/>
      <c r="AN4" s="6"/>
      <c r="AO4" s="6"/>
      <c r="AP4" s="9"/>
    </row>
    <row r="5" spans="1:42" x14ac:dyDescent="0.25">
      <c r="C5" s="4"/>
      <c r="D5" s="4"/>
      <c r="F5" s="6"/>
      <c r="K5" s="8"/>
      <c r="L5" s="8"/>
      <c r="M5" s="8"/>
      <c r="N5" s="8"/>
      <c r="O5" s="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"/>
      <c r="AB5" s="6"/>
      <c r="AC5" s="6"/>
      <c r="AD5" s="9"/>
      <c r="AE5" s="6"/>
      <c r="AF5" s="6"/>
      <c r="AG5" s="9"/>
      <c r="AH5" s="6"/>
      <c r="AI5" s="6"/>
      <c r="AJ5" s="9"/>
      <c r="AK5" s="6"/>
      <c r="AL5" s="6"/>
      <c r="AM5" s="9"/>
      <c r="AN5" s="6"/>
      <c r="AO5" s="6"/>
      <c r="AP5" s="9"/>
    </row>
    <row r="6" spans="1:42" ht="16.5" thickBot="1" x14ac:dyDescent="0.3">
      <c r="C6" s="12"/>
      <c r="D6" s="12"/>
      <c r="F6" s="6"/>
      <c r="G6" s="10"/>
      <c r="H6" s="11"/>
      <c r="I6" s="12"/>
      <c r="J6" s="12"/>
      <c r="K6" s="8"/>
      <c r="L6" s="8"/>
      <c r="M6" s="8"/>
      <c r="N6" s="8"/>
      <c r="O6" s="8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9"/>
      <c r="AB6" s="6"/>
      <c r="AC6" s="6"/>
      <c r="AD6" s="9"/>
      <c r="AE6" s="6"/>
      <c r="AF6" s="6"/>
      <c r="AG6" s="9"/>
      <c r="AH6" s="6"/>
      <c r="AI6" s="6"/>
      <c r="AJ6" s="9"/>
      <c r="AK6" s="6"/>
      <c r="AL6" s="6"/>
      <c r="AM6" s="9"/>
      <c r="AN6" s="6"/>
      <c r="AO6" s="6"/>
      <c r="AP6" s="9"/>
    </row>
    <row r="7" spans="1:42" s="6" customFormat="1" ht="18.75" x14ac:dyDescent="0.3">
      <c r="B7" s="13"/>
      <c r="C7" s="14"/>
      <c r="D7" s="15"/>
      <c r="G7" s="145" t="s">
        <v>3</v>
      </c>
      <c r="H7" s="146"/>
      <c r="I7" s="147"/>
      <c r="J7" s="148" t="s">
        <v>4</v>
      </c>
      <c r="K7" s="149"/>
      <c r="L7" s="150"/>
      <c r="M7" s="145" t="s">
        <v>5</v>
      </c>
      <c r="N7" s="146"/>
      <c r="O7" s="147"/>
      <c r="P7" s="142" t="s">
        <v>6</v>
      </c>
      <c r="Q7" s="143"/>
      <c r="R7" s="144"/>
      <c r="S7" s="145" t="s">
        <v>7</v>
      </c>
      <c r="T7" s="146"/>
      <c r="U7" s="147"/>
      <c r="V7" s="142" t="s">
        <v>8</v>
      </c>
      <c r="W7" s="143"/>
      <c r="X7" s="144"/>
      <c r="Y7" s="151" t="s">
        <v>9</v>
      </c>
      <c r="Z7" s="152"/>
      <c r="AA7" s="153"/>
      <c r="AB7" s="142" t="s">
        <v>10</v>
      </c>
      <c r="AC7" s="143"/>
      <c r="AD7" s="144"/>
      <c r="AE7" s="151" t="s">
        <v>11</v>
      </c>
      <c r="AF7" s="152"/>
      <c r="AG7" s="153"/>
      <c r="AH7" s="142" t="s">
        <v>12</v>
      </c>
      <c r="AI7" s="143"/>
      <c r="AJ7" s="144"/>
      <c r="AK7" s="151" t="s">
        <v>13</v>
      </c>
      <c r="AL7" s="152"/>
      <c r="AM7" s="153"/>
      <c r="AN7" s="142" t="s">
        <v>14</v>
      </c>
      <c r="AO7" s="143"/>
      <c r="AP7" s="144"/>
    </row>
    <row r="8" spans="1:42" s="28" customFormat="1" ht="36.75" thickBot="1" x14ac:dyDescent="0.3">
      <c r="A8" s="16" t="s">
        <v>0</v>
      </c>
      <c r="B8" s="16" t="s">
        <v>15</v>
      </c>
      <c r="C8" s="17" t="s">
        <v>16</v>
      </c>
      <c r="D8" s="17" t="s">
        <v>17</v>
      </c>
      <c r="E8" s="17" t="s">
        <v>18</v>
      </c>
      <c r="F8" s="18" t="s">
        <v>19</v>
      </c>
      <c r="G8" s="19" t="s">
        <v>20</v>
      </c>
      <c r="H8" s="20" t="s">
        <v>21</v>
      </c>
      <c r="I8" s="21" t="s">
        <v>22</v>
      </c>
      <c r="J8" s="22" t="s">
        <v>20</v>
      </c>
      <c r="K8" s="23" t="s">
        <v>21</v>
      </c>
      <c r="L8" s="24" t="s">
        <v>22</v>
      </c>
      <c r="M8" s="19" t="s">
        <v>20</v>
      </c>
      <c r="N8" s="20" t="s">
        <v>21</v>
      </c>
      <c r="O8" s="21" t="s">
        <v>22</v>
      </c>
      <c r="P8" s="22" t="s">
        <v>20</v>
      </c>
      <c r="Q8" s="23" t="s">
        <v>21</v>
      </c>
      <c r="R8" s="24" t="s">
        <v>22</v>
      </c>
      <c r="S8" s="19" t="s">
        <v>20</v>
      </c>
      <c r="T8" s="20" t="s">
        <v>21</v>
      </c>
      <c r="U8" s="21" t="s">
        <v>22</v>
      </c>
      <c r="V8" s="22" t="s">
        <v>20</v>
      </c>
      <c r="W8" s="23" t="s">
        <v>21</v>
      </c>
      <c r="X8" s="24" t="s">
        <v>22</v>
      </c>
      <c r="Y8" s="19" t="s">
        <v>20</v>
      </c>
      <c r="Z8" s="25" t="s">
        <v>21</v>
      </c>
      <c r="AA8" s="26" t="s">
        <v>22</v>
      </c>
      <c r="AB8" s="22" t="s">
        <v>20</v>
      </c>
      <c r="AC8" s="23" t="s">
        <v>21</v>
      </c>
      <c r="AD8" s="27" t="s">
        <v>22</v>
      </c>
      <c r="AE8" s="19" t="s">
        <v>20</v>
      </c>
      <c r="AF8" s="20" t="s">
        <v>21</v>
      </c>
      <c r="AG8" s="26" t="s">
        <v>22</v>
      </c>
      <c r="AH8" s="22" t="s">
        <v>20</v>
      </c>
      <c r="AI8" s="23" t="s">
        <v>21</v>
      </c>
      <c r="AJ8" s="27" t="s">
        <v>22</v>
      </c>
      <c r="AK8" s="19" t="s">
        <v>20</v>
      </c>
      <c r="AL8" s="20" t="s">
        <v>21</v>
      </c>
      <c r="AM8" s="26" t="s">
        <v>22</v>
      </c>
      <c r="AN8" s="22" t="s">
        <v>20</v>
      </c>
      <c r="AO8" s="23" t="s">
        <v>21</v>
      </c>
      <c r="AP8" s="27" t="s">
        <v>22</v>
      </c>
    </row>
    <row r="9" spans="1:42" x14ac:dyDescent="0.25">
      <c r="A9" s="29">
        <v>99441</v>
      </c>
      <c r="B9" s="30" t="s">
        <v>23</v>
      </c>
      <c r="C9" s="31">
        <v>30.85</v>
      </c>
      <c r="D9" s="32">
        <v>1</v>
      </c>
      <c r="E9" s="33">
        <v>1</v>
      </c>
      <c r="F9" s="34" t="s">
        <v>24</v>
      </c>
      <c r="G9" s="35">
        <v>0.2</v>
      </c>
      <c r="H9" s="36">
        <f>Inputs!B6*G9</f>
        <v>1125</v>
      </c>
      <c r="I9" s="37">
        <f t="shared" ref="I9:I19" si="0">+H9*C9</f>
        <v>34706.25</v>
      </c>
      <c r="J9" s="38">
        <v>0.5</v>
      </c>
      <c r="K9" s="39">
        <f>+(Inputs!B6*J9)-H9</f>
        <v>1687.5</v>
      </c>
      <c r="L9" s="40">
        <f t="shared" ref="L9:L19" si="1">+K9*C9</f>
        <v>52059.375</v>
      </c>
      <c r="M9" s="35">
        <v>0.9</v>
      </c>
      <c r="N9" s="41">
        <f>Inputs!B6*M9-(K9+H9)</f>
        <v>2250</v>
      </c>
      <c r="O9" s="37">
        <f t="shared" ref="O9:O19" si="2">+N9*C9</f>
        <v>69412.5</v>
      </c>
      <c r="P9" s="38">
        <v>1</v>
      </c>
      <c r="Q9" s="39">
        <f>Inputs!B6*P9-(H9+K9+N9)</f>
        <v>562.5</v>
      </c>
      <c r="R9" s="40">
        <f t="shared" ref="R9:R19" si="3">+Q9*C9</f>
        <v>17353.125</v>
      </c>
      <c r="S9" s="35">
        <v>1</v>
      </c>
      <c r="T9" s="41">
        <f>Inputs!B6*S9-(K9+N9+Q9+H9)</f>
        <v>0</v>
      </c>
      <c r="U9" s="37">
        <f t="shared" ref="U9:U19" si="4">+T9*C9</f>
        <v>0</v>
      </c>
      <c r="V9" s="38">
        <v>1</v>
      </c>
      <c r="W9" s="39">
        <f>Inputs!B6*V9-(N9+Q9+T9+K9+H9)</f>
        <v>0</v>
      </c>
      <c r="X9" s="42">
        <f t="shared" ref="X9:X19" si="5">+W9*C9</f>
        <v>0</v>
      </c>
      <c r="Y9" s="35">
        <v>1</v>
      </c>
      <c r="Z9" s="41">
        <f>Inputs!B6*Y9-(Q9+T9+W9+N9+K9+H9)</f>
        <v>0</v>
      </c>
      <c r="AA9" s="43">
        <f t="shared" ref="AA9:AA19" si="6">+Z9*C9</f>
        <v>0</v>
      </c>
      <c r="AB9" s="38">
        <v>1</v>
      </c>
      <c r="AC9" s="39">
        <f>Inputs!B6*AB9-(T9+W9+Z9+Q9+N9+K9+H9)</f>
        <v>0</v>
      </c>
      <c r="AD9" s="42">
        <f t="shared" ref="AD9:AD19" si="7">+AC9*C9</f>
        <v>0</v>
      </c>
      <c r="AE9" s="35">
        <v>1</v>
      </c>
      <c r="AF9" s="41">
        <f>Inputs!B6*AE9-(H9+K9+N9+Q9+T9+W9+Z9+AC9)</f>
        <v>0</v>
      </c>
      <c r="AG9" s="43">
        <f t="shared" ref="AG9:AG19" si="8">+AF9*C9</f>
        <v>0</v>
      </c>
      <c r="AH9" s="38">
        <v>1</v>
      </c>
      <c r="AI9" s="39">
        <f>Inputs!B6*AH9-(H9+K9+N9+Q9+T9+W9+Z9+AC9+AF9)</f>
        <v>0</v>
      </c>
      <c r="AJ9" s="42">
        <f t="shared" ref="AJ9:AJ14" si="9">+AI9*I9</f>
        <v>0</v>
      </c>
      <c r="AK9" s="35">
        <v>1</v>
      </c>
      <c r="AL9" s="41">
        <f>Inputs!B6*AK9-(H9+K9+N9+Q9+T9+W9+Z9+AC9+AF9+AI9)</f>
        <v>0</v>
      </c>
      <c r="AM9" s="43">
        <f t="shared" ref="AM9:AM19" si="10">+AL9*C9</f>
        <v>0</v>
      </c>
      <c r="AN9" s="38">
        <v>1</v>
      </c>
      <c r="AO9" s="39">
        <f>Inputs!B6*AN9-(H9+K9+N9+Q9+T9+W9+Z9+AC9+AF9+AI9+AL9)</f>
        <v>0</v>
      </c>
      <c r="AP9" s="42">
        <f t="shared" ref="AP9:AP19" si="11">+AO9*C9</f>
        <v>0</v>
      </c>
    </row>
    <row r="10" spans="1:42" x14ac:dyDescent="0.25">
      <c r="A10" s="44">
        <v>96160</v>
      </c>
      <c r="B10" s="45" t="s">
        <v>25</v>
      </c>
      <c r="C10" s="46">
        <v>2.31</v>
      </c>
      <c r="D10" s="47">
        <v>1</v>
      </c>
      <c r="E10" s="48">
        <v>1</v>
      </c>
      <c r="F10" s="49" t="s">
        <v>24</v>
      </c>
      <c r="G10" s="50">
        <f>G9</f>
        <v>0.2</v>
      </c>
      <c r="H10" s="51">
        <f>Inputs!B6*G10</f>
        <v>1125</v>
      </c>
      <c r="I10" s="52">
        <f t="shared" si="0"/>
        <v>2598.75</v>
      </c>
      <c r="J10" s="53">
        <f>J9</f>
        <v>0.5</v>
      </c>
      <c r="K10" s="54">
        <f>+(Inputs!B6*J10)-H10</f>
        <v>1687.5</v>
      </c>
      <c r="L10" s="55">
        <f t="shared" si="1"/>
        <v>3898.125</v>
      </c>
      <c r="M10" s="50">
        <f>M9</f>
        <v>0.9</v>
      </c>
      <c r="N10" s="56">
        <f>Inputs!B6*M10-(K10+H10)</f>
        <v>2250</v>
      </c>
      <c r="O10" s="52">
        <f t="shared" si="2"/>
        <v>5197.5</v>
      </c>
      <c r="P10" s="53">
        <f>P9</f>
        <v>1</v>
      </c>
      <c r="Q10" s="54">
        <f>Inputs!B6*P10-(H10+K10+N10)</f>
        <v>562.5</v>
      </c>
      <c r="R10" s="55">
        <f t="shared" si="3"/>
        <v>1299.375</v>
      </c>
      <c r="S10" s="50">
        <f>S9</f>
        <v>1</v>
      </c>
      <c r="T10" s="56">
        <f>Inputs!B6*S10-(K10+N10+Q10+H10)</f>
        <v>0</v>
      </c>
      <c r="U10" s="52">
        <f t="shared" si="4"/>
        <v>0</v>
      </c>
      <c r="V10" s="53">
        <f>V9</f>
        <v>1</v>
      </c>
      <c r="W10" s="54">
        <f>Inputs!B6*V10-(N10+Q10+T10+K10+H10)</f>
        <v>0</v>
      </c>
      <c r="X10" s="57">
        <f t="shared" si="5"/>
        <v>0</v>
      </c>
      <c r="Y10" s="50">
        <f>Y9</f>
        <v>1</v>
      </c>
      <c r="Z10" s="56">
        <f>Inputs!B6*Y10-(Q10+T10+W10+N10+K10+H10)</f>
        <v>0</v>
      </c>
      <c r="AA10" s="58">
        <f t="shared" si="6"/>
        <v>0</v>
      </c>
      <c r="AB10" s="53">
        <f>AB9</f>
        <v>1</v>
      </c>
      <c r="AC10" s="54">
        <f>Inputs!B6*AB10-(T10+W10+Z10+Q10+N10+K10+H10)</f>
        <v>0</v>
      </c>
      <c r="AD10" s="57">
        <f t="shared" si="7"/>
        <v>0</v>
      </c>
      <c r="AE10" s="50">
        <f>AE9</f>
        <v>1</v>
      </c>
      <c r="AF10" s="56">
        <f>Inputs!B6*AE10-(H10+K10+N10+Q10+T10+W10+Z10+AC10)</f>
        <v>0</v>
      </c>
      <c r="AG10" s="58">
        <f t="shared" si="8"/>
        <v>0</v>
      </c>
      <c r="AH10" s="53">
        <f>AH9</f>
        <v>1</v>
      </c>
      <c r="AI10" s="54">
        <f>Inputs!B6*AH10-(H10+K10+N10+Q10+T10+W10+Z10+AC10+AF10)</f>
        <v>0</v>
      </c>
      <c r="AJ10" s="57">
        <f t="shared" si="9"/>
        <v>0</v>
      </c>
      <c r="AK10" s="50">
        <f>AK9</f>
        <v>1</v>
      </c>
      <c r="AL10" s="56">
        <f>Inputs!B6*AK10-(H10+K10+N10+Q10+T10+W10+Z10+AC10+AF10+AI10)</f>
        <v>0</v>
      </c>
      <c r="AM10" s="58">
        <f t="shared" si="10"/>
        <v>0</v>
      </c>
      <c r="AN10" s="53">
        <f>AN9</f>
        <v>1</v>
      </c>
      <c r="AO10" s="54">
        <f>Inputs!B6*AN10-(H10+K10+N10+Q10+T10+W10+Z10+AC10+AF10+AI10+AL10)</f>
        <v>0</v>
      </c>
      <c r="AP10" s="57">
        <f t="shared" si="11"/>
        <v>0</v>
      </c>
    </row>
    <row r="11" spans="1:42" ht="24" x14ac:dyDescent="0.25">
      <c r="A11" s="44" t="s">
        <v>26</v>
      </c>
      <c r="B11" s="45" t="s">
        <v>27</v>
      </c>
      <c r="C11" s="46">
        <v>23.95</v>
      </c>
      <c r="D11" s="47">
        <v>1</v>
      </c>
      <c r="E11" s="48">
        <v>1</v>
      </c>
      <c r="F11" s="49" t="s">
        <v>24</v>
      </c>
      <c r="G11" s="50">
        <f>G9</f>
        <v>0.2</v>
      </c>
      <c r="H11" s="51">
        <f>Inputs!B6*G11</f>
        <v>1125</v>
      </c>
      <c r="I11" s="52">
        <f t="shared" si="0"/>
        <v>26943.75</v>
      </c>
      <c r="J11" s="53">
        <f>J9</f>
        <v>0.5</v>
      </c>
      <c r="K11" s="54">
        <f>+(Inputs!B6*J11)-H11</f>
        <v>1687.5</v>
      </c>
      <c r="L11" s="55">
        <f t="shared" si="1"/>
        <v>40415.625</v>
      </c>
      <c r="M11" s="50">
        <f>M9</f>
        <v>0.9</v>
      </c>
      <c r="N11" s="56">
        <f>Inputs!B6*M11-(K11+H11)</f>
        <v>2250</v>
      </c>
      <c r="O11" s="52">
        <f t="shared" si="2"/>
        <v>53887.5</v>
      </c>
      <c r="P11" s="53">
        <f>P9</f>
        <v>1</v>
      </c>
      <c r="Q11" s="54">
        <f>Inputs!B6*P11-(H11+K11+N11)</f>
        <v>562.5</v>
      </c>
      <c r="R11" s="55">
        <f t="shared" si="3"/>
        <v>13471.875</v>
      </c>
      <c r="S11" s="50">
        <f>S9</f>
        <v>1</v>
      </c>
      <c r="T11" s="56">
        <f>Inputs!B6*S11-(K11+N11+Q11+H11)</f>
        <v>0</v>
      </c>
      <c r="U11" s="52">
        <f t="shared" si="4"/>
        <v>0</v>
      </c>
      <c r="V11" s="53">
        <f>V9</f>
        <v>1</v>
      </c>
      <c r="W11" s="54">
        <f>Inputs!B6*V11-(N11+Q11+T11+K11+H11)</f>
        <v>0</v>
      </c>
      <c r="X11" s="57">
        <f t="shared" si="5"/>
        <v>0</v>
      </c>
      <c r="Y11" s="50">
        <f>Y9</f>
        <v>1</v>
      </c>
      <c r="Z11" s="56">
        <f>Inputs!B6*Y11-(Q11+T11+W11+N11+K11+H11)</f>
        <v>0</v>
      </c>
      <c r="AA11" s="58">
        <f t="shared" si="6"/>
        <v>0</v>
      </c>
      <c r="AB11" s="53">
        <f>AB9</f>
        <v>1</v>
      </c>
      <c r="AC11" s="54">
        <f>Inputs!B6*AB11-(T11+W11+Z11+Q11+N11+K11+H11)</f>
        <v>0</v>
      </c>
      <c r="AD11" s="57">
        <f t="shared" si="7"/>
        <v>0</v>
      </c>
      <c r="AE11" s="50">
        <f>AE9</f>
        <v>1</v>
      </c>
      <c r="AF11" s="56">
        <f>Inputs!B6*AE11-(H11+K11+N11+Q11+T11+W11+Z11+AC11)</f>
        <v>0</v>
      </c>
      <c r="AG11" s="58">
        <f t="shared" si="8"/>
        <v>0</v>
      </c>
      <c r="AH11" s="53">
        <f>AH9</f>
        <v>1</v>
      </c>
      <c r="AI11" s="54">
        <f>Inputs!B6*AH11-(H11+K11+N11+Q11+T11+W11+Z11+AC11+AF11)</f>
        <v>0</v>
      </c>
      <c r="AJ11" s="57">
        <f t="shared" si="9"/>
        <v>0</v>
      </c>
      <c r="AK11" s="50">
        <f>AK9</f>
        <v>1</v>
      </c>
      <c r="AL11" s="56">
        <f>Inputs!B6*AK11-(H11+K11+N11+Q11+T11+W11+Z11+AC11+AF11+AI11)</f>
        <v>0</v>
      </c>
      <c r="AM11" s="58">
        <f t="shared" si="10"/>
        <v>0</v>
      </c>
      <c r="AN11" s="53">
        <f>AN9</f>
        <v>1</v>
      </c>
      <c r="AO11" s="54">
        <f>Inputs!B6*AN11-(H11+K11+N11+Q11+T11+W11+Z11+AC11+AF11+AI11+AL11)</f>
        <v>0</v>
      </c>
      <c r="AP11" s="57">
        <f t="shared" si="11"/>
        <v>0</v>
      </c>
    </row>
    <row r="12" spans="1:42" x14ac:dyDescent="0.25">
      <c r="A12" s="44">
        <v>96130</v>
      </c>
      <c r="B12" s="45" t="s">
        <v>28</v>
      </c>
      <c r="C12" s="46">
        <v>95.11</v>
      </c>
      <c r="D12" s="47">
        <v>1</v>
      </c>
      <c r="E12" s="48">
        <v>1</v>
      </c>
      <c r="F12" s="49" t="s">
        <v>24</v>
      </c>
      <c r="G12" s="50">
        <f>G9</f>
        <v>0.2</v>
      </c>
      <c r="H12" s="51">
        <f>Inputs!B6*G12</f>
        <v>1125</v>
      </c>
      <c r="I12" s="52">
        <f t="shared" si="0"/>
        <v>106998.75</v>
      </c>
      <c r="J12" s="53">
        <f>J9</f>
        <v>0.5</v>
      </c>
      <c r="K12" s="54">
        <f>+(Inputs!B6*J12)-H12</f>
        <v>1687.5</v>
      </c>
      <c r="L12" s="55">
        <f t="shared" si="1"/>
        <v>160498.125</v>
      </c>
      <c r="M12" s="50">
        <f>M9</f>
        <v>0.9</v>
      </c>
      <c r="N12" s="56">
        <f>Inputs!B6*M12-(K12+H12)</f>
        <v>2250</v>
      </c>
      <c r="O12" s="52">
        <f t="shared" si="2"/>
        <v>213997.5</v>
      </c>
      <c r="P12" s="53">
        <f>P9</f>
        <v>1</v>
      </c>
      <c r="Q12" s="54">
        <f>Inputs!B6*P12-(H12+K12+N12)</f>
        <v>562.5</v>
      </c>
      <c r="R12" s="55">
        <f t="shared" si="3"/>
        <v>53499.375</v>
      </c>
      <c r="S12" s="50">
        <f>S9</f>
        <v>1</v>
      </c>
      <c r="T12" s="56">
        <f>Inputs!B6*S12-(K12+N12+Q12+H12)</f>
        <v>0</v>
      </c>
      <c r="U12" s="52">
        <f t="shared" si="4"/>
        <v>0</v>
      </c>
      <c r="V12" s="53">
        <f>V9</f>
        <v>1</v>
      </c>
      <c r="W12" s="54">
        <f>Inputs!B6*V12-(N12+Q12+T12+K12+H12)</f>
        <v>0</v>
      </c>
      <c r="X12" s="57">
        <f t="shared" si="5"/>
        <v>0</v>
      </c>
      <c r="Y12" s="50">
        <f>Y9</f>
        <v>1</v>
      </c>
      <c r="Z12" s="56">
        <f>Inputs!B6*Y12-(Q12+T12+W12+N12+K12+H12)</f>
        <v>0</v>
      </c>
      <c r="AA12" s="58">
        <f t="shared" si="6"/>
        <v>0</v>
      </c>
      <c r="AB12" s="53">
        <f>AB9</f>
        <v>1</v>
      </c>
      <c r="AC12" s="54">
        <f>Inputs!B6*AB12-(T12+W12+Z12+Q12+N12+K12+H12)</f>
        <v>0</v>
      </c>
      <c r="AD12" s="57">
        <f t="shared" si="7"/>
        <v>0</v>
      </c>
      <c r="AE12" s="50">
        <f>AE9</f>
        <v>1</v>
      </c>
      <c r="AF12" s="56">
        <f>Inputs!B6*AE12-(H12+K12+N12+Q12+T12+W12+Z12+AC12)</f>
        <v>0</v>
      </c>
      <c r="AG12" s="58">
        <f t="shared" si="8"/>
        <v>0</v>
      </c>
      <c r="AH12" s="53">
        <f>AH9</f>
        <v>1</v>
      </c>
      <c r="AI12" s="54">
        <f>Inputs!B6*AH12-(H12+K12+N12+Q12+T12+W12+Z12+AC12+AF12)</f>
        <v>0</v>
      </c>
      <c r="AJ12" s="57">
        <f t="shared" si="9"/>
        <v>0</v>
      </c>
      <c r="AK12" s="50">
        <f>AK9</f>
        <v>1</v>
      </c>
      <c r="AL12" s="56">
        <f>Inputs!B6*AK12-(H12+K12+N12+Q12+T12+W12+Z12+AC12+AF12+AI12)</f>
        <v>0</v>
      </c>
      <c r="AM12" s="58">
        <f t="shared" si="10"/>
        <v>0</v>
      </c>
      <c r="AN12" s="53">
        <f>AN9</f>
        <v>1</v>
      </c>
      <c r="AO12" s="54">
        <f>Inputs!B6*AN12-(H12+K12+N12+Q12+T12+W12+Z12+AC12+AF12+AI12+AL12)</f>
        <v>0</v>
      </c>
      <c r="AP12" s="57">
        <f t="shared" si="11"/>
        <v>0</v>
      </c>
    </row>
    <row r="13" spans="1:42" x14ac:dyDescent="0.25">
      <c r="A13" s="44" t="s">
        <v>29</v>
      </c>
      <c r="B13" s="45" t="s">
        <v>30</v>
      </c>
      <c r="C13" s="46">
        <v>9.99</v>
      </c>
      <c r="D13" s="47">
        <v>1</v>
      </c>
      <c r="E13" s="48">
        <v>1</v>
      </c>
      <c r="F13" s="49" t="s">
        <v>24</v>
      </c>
      <c r="G13" s="50">
        <f>G9</f>
        <v>0.2</v>
      </c>
      <c r="H13" s="51">
        <f>Inputs!B6*G13</f>
        <v>1125</v>
      </c>
      <c r="I13" s="52">
        <f t="shared" si="0"/>
        <v>11238.75</v>
      </c>
      <c r="J13" s="53">
        <f>J9</f>
        <v>0.5</v>
      </c>
      <c r="K13" s="54">
        <f>+(Inputs!B6*J13)-H13</f>
        <v>1687.5</v>
      </c>
      <c r="L13" s="55">
        <f t="shared" si="1"/>
        <v>16858.125</v>
      </c>
      <c r="M13" s="50">
        <f>M9</f>
        <v>0.9</v>
      </c>
      <c r="N13" s="56">
        <f>Inputs!B6*M13-(K13+H13)</f>
        <v>2250</v>
      </c>
      <c r="O13" s="52">
        <f t="shared" si="2"/>
        <v>22477.5</v>
      </c>
      <c r="P13" s="53">
        <f>P9</f>
        <v>1</v>
      </c>
      <c r="Q13" s="54">
        <f>Inputs!B6*P13-(H13+K13+N13)</f>
        <v>562.5</v>
      </c>
      <c r="R13" s="55">
        <f t="shared" si="3"/>
        <v>5619.375</v>
      </c>
      <c r="S13" s="50">
        <f>S9</f>
        <v>1</v>
      </c>
      <c r="T13" s="56">
        <f>Inputs!B6*S13-(K13+N13+Q13+H13)</f>
        <v>0</v>
      </c>
      <c r="U13" s="52">
        <f t="shared" si="4"/>
        <v>0</v>
      </c>
      <c r="V13" s="53">
        <f>V9</f>
        <v>1</v>
      </c>
      <c r="W13" s="54">
        <f>Inputs!B6*V13-(N13+Q13+T13+K13+H13)</f>
        <v>0</v>
      </c>
      <c r="X13" s="57">
        <f t="shared" si="5"/>
        <v>0</v>
      </c>
      <c r="Y13" s="50">
        <f>Y9</f>
        <v>1</v>
      </c>
      <c r="Z13" s="56">
        <f>Inputs!B6*Y13-(Q13+T13+W13+N13+K13+H13)</f>
        <v>0</v>
      </c>
      <c r="AA13" s="58">
        <f t="shared" si="6"/>
        <v>0</v>
      </c>
      <c r="AB13" s="53">
        <f>AB9</f>
        <v>1</v>
      </c>
      <c r="AC13" s="54">
        <f>Inputs!B6*AB13-(T13+W13+Z13+Q13+N13+K13+H13)</f>
        <v>0</v>
      </c>
      <c r="AD13" s="57">
        <f t="shared" si="7"/>
        <v>0</v>
      </c>
      <c r="AE13" s="50">
        <f>AE9</f>
        <v>1</v>
      </c>
      <c r="AF13" s="56">
        <f>Inputs!B6*AE13-(H13+K13+N13+Q13+T13+W13+Z13+AC13)</f>
        <v>0</v>
      </c>
      <c r="AG13" s="58">
        <f t="shared" si="8"/>
        <v>0</v>
      </c>
      <c r="AH13" s="53">
        <f>AH9</f>
        <v>1</v>
      </c>
      <c r="AI13" s="54">
        <f>Inputs!B6*AH13-(H13+K13+N13+Q13+T13+W13+Z13+AC13+AF13)</f>
        <v>0</v>
      </c>
      <c r="AJ13" s="57">
        <f t="shared" si="9"/>
        <v>0</v>
      </c>
      <c r="AK13" s="50">
        <f>AK9</f>
        <v>1</v>
      </c>
      <c r="AL13" s="56">
        <f>Inputs!B6*AK13-(H13+K13+N13+Q13+T13+W13+Z13+AC13+AF13+AI13)</f>
        <v>0</v>
      </c>
      <c r="AM13" s="58">
        <f t="shared" si="10"/>
        <v>0</v>
      </c>
      <c r="AN13" s="53">
        <f>AN9</f>
        <v>1</v>
      </c>
      <c r="AO13" s="54">
        <f>Inputs!B6*AN13-(H13+K13+N13+Q13+T13+W13+Z13+AC13+AF13+AI13+AL13)</f>
        <v>0</v>
      </c>
      <c r="AP13" s="57">
        <f t="shared" si="11"/>
        <v>0</v>
      </c>
    </row>
    <row r="14" spans="1:42" ht="15.75" thickBot="1" x14ac:dyDescent="0.3">
      <c r="A14" s="59" t="s">
        <v>31</v>
      </c>
      <c r="B14" s="60" t="s">
        <v>32</v>
      </c>
      <c r="C14" s="61">
        <v>0</v>
      </c>
      <c r="D14" s="62">
        <v>1</v>
      </c>
      <c r="E14" s="63">
        <v>1</v>
      </c>
      <c r="F14" s="64" t="s">
        <v>24</v>
      </c>
      <c r="G14" s="65">
        <f>G9</f>
        <v>0.2</v>
      </c>
      <c r="H14" s="66">
        <f>Inputs!B6*G14</f>
        <v>1125</v>
      </c>
      <c r="I14" s="67">
        <f t="shared" si="0"/>
        <v>0</v>
      </c>
      <c r="J14" s="68">
        <f>J9</f>
        <v>0.5</v>
      </c>
      <c r="K14" s="69">
        <f>+(Inputs!B6*J14)-H14</f>
        <v>1687.5</v>
      </c>
      <c r="L14" s="70">
        <f t="shared" si="1"/>
        <v>0</v>
      </c>
      <c r="M14" s="65">
        <f>M9</f>
        <v>0.9</v>
      </c>
      <c r="N14" s="71">
        <f>Inputs!B6*M14-(K14+H14)</f>
        <v>2250</v>
      </c>
      <c r="O14" s="67">
        <f t="shared" si="2"/>
        <v>0</v>
      </c>
      <c r="P14" s="68">
        <f>P9</f>
        <v>1</v>
      </c>
      <c r="Q14" s="69">
        <f>Inputs!B6*P14-(H14+K14+N14)</f>
        <v>562.5</v>
      </c>
      <c r="R14" s="70">
        <f t="shared" si="3"/>
        <v>0</v>
      </c>
      <c r="S14" s="65">
        <f>S9</f>
        <v>1</v>
      </c>
      <c r="T14" s="71">
        <f>Inputs!B6*S14-(K14+N14+Q14+H14)</f>
        <v>0</v>
      </c>
      <c r="U14" s="67">
        <f t="shared" si="4"/>
        <v>0</v>
      </c>
      <c r="V14" s="68">
        <f>V9</f>
        <v>1</v>
      </c>
      <c r="W14" s="69">
        <f>Inputs!B6*V14-(N14+Q14+T14+K14+H14)</f>
        <v>0</v>
      </c>
      <c r="X14" s="72">
        <f t="shared" si="5"/>
        <v>0</v>
      </c>
      <c r="Y14" s="65">
        <f>Y9</f>
        <v>1</v>
      </c>
      <c r="Z14" s="71">
        <f>Inputs!B6*Y14-(Q14+T14+W14+N14+K14+H14)</f>
        <v>0</v>
      </c>
      <c r="AA14" s="73">
        <f t="shared" si="6"/>
        <v>0</v>
      </c>
      <c r="AB14" s="68">
        <f>AB9</f>
        <v>1</v>
      </c>
      <c r="AC14" s="69">
        <f>Inputs!B6*AB14-(T14+W14+Z14+Q14+N14+K14+H14)</f>
        <v>0</v>
      </c>
      <c r="AD14" s="72">
        <f t="shared" si="7"/>
        <v>0</v>
      </c>
      <c r="AE14" s="65">
        <f>AE9</f>
        <v>1</v>
      </c>
      <c r="AF14" s="71">
        <f>Inputs!B6*AE14-(H14+K14+N14+Q14+T14+W14+Z14+AC14)</f>
        <v>0</v>
      </c>
      <c r="AG14" s="73">
        <f t="shared" si="8"/>
        <v>0</v>
      </c>
      <c r="AH14" s="68">
        <f>AH9</f>
        <v>1</v>
      </c>
      <c r="AI14" s="69">
        <f>Inputs!B6*AH14-(H14+K14+N14+Q14+T14+W14+Z14+AC14+AF14)</f>
        <v>0</v>
      </c>
      <c r="AJ14" s="72">
        <f t="shared" si="9"/>
        <v>0</v>
      </c>
      <c r="AK14" s="65">
        <f>AK9</f>
        <v>1</v>
      </c>
      <c r="AL14" s="71">
        <f>Inputs!B6*AK14-(H14+K14+N14+Q14+T14+W14+Z14+AC14+AF14+AI14)</f>
        <v>0</v>
      </c>
      <c r="AM14" s="73">
        <f t="shared" si="10"/>
        <v>0</v>
      </c>
      <c r="AN14" s="68">
        <f>AN9</f>
        <v>1</v>
      </c>
      <c r="AO14" s="69">
        <f>Inputs!B6*AN14-(H14+K14+N14+Q14+T14+W14+Z14+AC14+AF14+AI14+AL14)</f>
        <v>0</v>
      </c>
      <c r="AP14" s="72">
        <f t="shared" si="11"/>
        <v>0</v>
      </c>
    </row>
    <row r="15" spans="1:42" ht="24.75" thickBot="1" x14ac:dyDescent="0.3">
      <c r="A15" s="74" t="s">
        <v>33</v>
      </c>
      <c r="B15" s="75" t="s">
        <v>34</v>
      </c>
      <c r="C15" s="76">
        <v>97.04</v>
      </c>
      <c r="D15" s="77">
        <f>Inputs!B7</f>
        <v>0.3</v>
      </c>
      <c r="E15" s="78">
        <v>12</v>
      </c>
      <c r="F15" s="79" t="s">
        <v>35</v>
      </c>
      <c r="G15" s="80">
        <f>D15*G9</f>
        <v>0.06</v>
      </c>
      <c r="H15" s="81">
        <f>Inputs!B6*G15</f>
        <v>337.5</v>
      </c>
      <c r="I15" s="82">
        <f t="shared" si="0"/>
        <v>32751.000000000004</v>
      </c>
      <c r="J15" s="83">
        <f>D15*J9</f>
        <v>0.15</v>
      </c>
      <c r="K15" s="84">
        <f>+(Inputs!B6*J15)</f>
        <v>843.75</v>
      </c>
      <c r="L15" s="85">
        <f t="shared" si="1"/>
        <v>81877.5</v>
      </c>
      <c r="M15" s="80">
        <f>D15*M9</f>
        <v>0.27</v>
      </c>
      <c r="N15" s="86">
        <f>Inputs!B6*M15</f>
        <v>1518.75</v>
      </c>
      <c r="O15" s="82">
        <f t="shared" si="2"/>
        <v>147379.5</v>
      </c>
      <c r="P15" s="83">
        <f>P9*$D$15</f>
        <v>0.3</v>
      </c>
      <c r="Q15" s="84">
        <f>Inputs!B6*P15</f>
        <v>1687.5</v>
      </c>
      <c r="R15" s="85">
        <f t="shared" si="3"/>
        <v>163755</v>
      </c>
      <c r="S15" s="80">
        <f>S9*D15</f>
        <v>0.3</v>
      </c>
      <c r="T15" s="86">
        <f>Inputs!B6*S15</f>
        <v>1687.5</v>
      </c>
      <c r="U15" s="82">
        <f t="shared" si="4"/>
        <v>163755</v>
      </c>
      <c r="V15" s="83">
        <f>D15</f>
        <v>0.3</v>
      </c>
      <c r="W15" s="84">
        <f>Inputs!B6*V15</f>
        <v>1687.5</v>
      </c>
      <c r="X15" s="85">
        <f t="shared" si="5"/>
        <v>163755</v>
      </c>
      <c r="Y15" s="80">
        <f>Y9*$D$15</f>
        <v>0.3</v>
      </c>
      <c r="Z15" s="86">
        <f>Inputs!B6*Y15</f>
        <v>1687.5</v>
      </c>
      <c r="AA15" s="82">
        <f t="shared" si="6"/>
        <v>163755</v>
      </c>
      <c r="AB15" s="83">
        <f>AB9*$D$15</f>
        <v>0.3</v>
      </c>
      <c r="AC15" s="84">
        <f>Inputs!B6*AB15</f>
        <v>1687.5</v>
      </c>
      <c r="AD15" s="85">
        <f t="shared" si="7"/>
        <v>163755</v>
      </c>
      <c r="AE15" s="80">
        <f>AE9*$D$15</f>
        <v>0.3</v>
      </c>
      <c r="AF15" s="86">
        <f>Inputs!B6*AE15</f>
        <v>1687.5</v>
      </c>
      <c r="AG15" s="82">
        <f t="shared" si="8"/>
        <v>163755</v>
      </c>
      <c r="AH15" s="83">
        <f>AH9*$D$15</f>
        <v>0.3</v>
      </c>
      <c r="AI15" s="84">
        <f>+AH15*Inputs!B6</f>
        <v>1687.5</v>
      </c>
      <c r="AJ15" s="85">
        <f t="shared" ref="AJ15:AJ19" si="12">+AI15*C15</f>
        <v>163755</v>
      </c>
      <c r="AK15" s="80">
        <f>AK9*$D$15</f>
        <v>0.3</v>
      </c>
      <c r="AL15" s="86">
        <f>Inputs!B6*AK15</f>
        <v>1687.5</v>
      </c>
      <c r="AM15" s="82">
        <f t="shared" si="10"/>
        <v>163755</v>
      </c>
      <c r="AN15" s="83">
        <f>AN9*$D$15</f>
        <v>0.3</v>
      </c>
      <c r="AO15" s="84">
        <f>Inputs!B6*AN15</f>
        <v>1687.5</v>
      </c>
      <c r="AP15" s="85">
        <f t="shared" si="11"/>
        <v>163755</v>
      </c>
    </row>
    <row r="16" spans="1:42" x14ac:dyDescent="0.25">
      <c r="A16" s="44">
        <v>99487</v>
      </c>
      <c r="B16" s="45" t="s">
        <v>36</v>
      </c>
      <c r="C16" s="87">
        <v>109</v>
      </c>
      <c r="D16" s="88">
        <v>1</v>
      </c>
      <c r="E16" s="89">
        <v>1</v>
      </c>
      <c r="F16" s="90" t="s">
        <v>24</v>
      </c>
      <c r="G16" s="91">
        <f>G9</f>
        <v>0.2</v>
      </c>
      <c r="H16" s="51">
        <f>Inputs!B6*G16</f>
        <v>1125</v>
      </c>
      <c r="I16" s="92">
        <f>H16*C16</f>
        <v>122625</v>
      </c>
      <c r="J16" s="93">
        <f>J9</f>
        <v>0.5</v>
      </c>
      <c r="K16" s="54">
        <f>+(Inputs!B6*J16)-H16</f>
        <v>1687.5</v>
      </c>
      <c r="L16" s="94">
        <f>K16*C16</f>
        <v>183937.5</v>
      </c>
      <c r="M16" s="91">
        <f>M9</f>
        <v>0.9</v>
      </c>
      <c r="N16" s="56">
        <f>Inputs!B6*M16-(K16+H16)</f>
        <v>2250</v>
      </c>
      <c r="O16" s="92">
        <f>N16*C16</f>
        <v>245250</v>
      </c>
      <c r="P16" s="93">
        <f>P9</f>
        <v>1</v>
      </c>
      <c r="Q16" s="54">
        <f>Inputs!B6*P16-(H16+K16+N16)</f>
        <v>562.5</v>
      </c>
      <c r="R16" s="94">
        <f>Q16*C16</f>
        <v>61312.5</v>
      </c>
      <c r="S16" s="91">
        <f>S9</f>
        <v>1</v>
      </c>
      <c r="T16" s="56">
        <f>Inputs!B6*S16-(K16+H16+N16+Q16)</f>
        <v>0</v>
      </c>
      <c r="U16" s="92">
        <f>T16*C16</f>
        <v>0</v>
      </c>
      <c r="V16" s="93">
        <f>V9</f>
        <v>1</v>
      </c>
      <c r="W16" s="54">
        <f>Inputs!B6*V16-(N16+Q16+T16+K16+H16)</f>
        <v>0</v>
      </c>
      <c r="X16" s="94">
        <f>W16*C16</f>
        <v>0</v>
      </c>
      <c r="Y16" s="91">
        <f>Y9</f>
        <v>1</v>
      </c>
      <c r="Z16" s="95">
        <v>0</v>
      </c>
      <c r="AA16" s="92">
        <v>0</v>
      </c>
      <c r="AB16" s="93">
        <f>AB9</f>
        <v>1</v>
      </c>
      <c r="AC16" s="96">
        <v>0</v>
      </c>
      <c r="AD16" s="94">
        <v>0</v>
      </c>
      <c r="AE16" s="91">
        <f>AE9</f>
        <v>1</v>
      </c>
      <c r="AF16" s="95">
        <v>0</v>
      </c>
      <c r="AG16" s="92">
        <v>0</v>
      </c>
      <c r="AH16" s="93">
        <f>AH9</f>
        <v>1</v>
      </c>
      <c r="AI16" s="96">
        <v>0</v>
      </c>
      <c r="AJ16" s="94">
        <v>0</v>
      </c>
      <c r="AK16" s="91">
        <f>AK9</f>
        <v>1</v>
      </c>
      <c r="AL16" s="95">
        <v>0</v>
      </c>
      <c r="AM16" s="92">
        <v>0</v>
      </c>
      <c r="AN16" s="93">
        <f>AN9</f>
        <v>1</v>
      </c>
      <c r="AO16" s="96">
        <v>0</v>
      </c>
      <c r="AP16" s="94">
        <v>0</v>
      </c>
    </row>
    <row r="17" spans="1:46" x14ac:dyDescent="0.25">
      <c r="A17" s="44">
        <v>99487</v>
      </c>
      <c r="B17" s="45" t="s">
        <v>36</v>
      </c>
      <c r="C17" s="46">
        <f>C16</f>
        <v>109</v>
      </c>
      <c r="D17" s="47">
        <v>1</v>
      </c>
      <c r="E17" s="48">
        <v>11</v>
      </c>
      <c r="F17" s="49" t="s">
        <v>35</v>
      </c>
      <c r="G17" s="50">
        <v>0</v>
      </c>
      <c r="H17" s="51">
        <f>Inputs!B6*G17</f>
        <v>0</v>
      </c>
      <c r="I17" s="52">
        <f t="shared" si="0"/>
        <v>0</v>
      </c>
      <c r="J17" s="53">
        <f>G16</f>
        <v>0.2</v>
      </c>
      <c r="K17" s="54">
        <f>+(Inputs!B6*J17)</f>
        <v>1125</v>
      </c>
      <c r="L17" s="55">
        <f t="shared" si="1"/>
        <v>122625</v>
      </c>
      <c r="M17" s="50">
        <f>J16</f>
        <v>0.5</v>
      </c>
      <c r="N17" s="56">
        <f>Inputs!B6*M17</f>
        <v>2812.5</v>
      </c>
      <c r="O17" s="52">
        <f t="shared" si="2"/>
        <v>306562.5</v>
      </c>
      <c r="P17" s="53">
        <f>M16</f>
        <v>0.9</v>
      </c>
      <c r="Q17" s="54">
        <f>Inputs!B6*P17</f>
        <v>5062.5</v>
      </c>
      <c r="R17" s="55">
        <f t="shared" si="3"/>
        <v>551812.5</v>
      </c>
      <c r="S17" s="50">
        <f>P16</f>
        <v>1</v>
      </c>
      <c r="T17" s="56">
        <f>Inputs!B6*S17</f>
        <v>5625</v>
      </c>
      <c r="U17" s="52">
        <f t="shared" si="4"/>
        <v>613125</v>
      </c>
      <c r="V17" s="53">
        <f>S16</f>
        <v>1</v>
      </c>
      <c r="W17" s="97">
        <f>Inputs!B6*V17</f>
        <v>5625</v>
      </c>
      <c r="X17" s="57">
        <f t="shared" si="5"/>
        <v>613125</v>
      </c>
      <c r="Y17" s="50">
        <f>V16</f>
        <v>1</v>
      </c>
      <c r="Z17" s="98">
        <f>Inputs!B6*Y17</f>
        <v>5625</v>
      </c>
      <c r="AA17" s="58">
        <f t="shared" si="6"/>
        <v>613125</v>
      </c>
      <c r="AB17" s="53">
        <f>Y16</f>
        <v>1</v>
      </c>
      <c r="AC17" s="97">
        <f>Inputs!B6*AB17</f>
        <v>5625</v>
      </c>
      <c r="AD17" s="57">
        <f t="shared" si="7"/>
        <v>613125</v>
      </c>
      <c r="AE17" s="50">
        <f>AB16</f>
        <v>1</v>
      </c>
      <c r="AF17" s="98">
        <f>Inputs!B6*AE17</f>
        <v>5625</v>
      </c>
      <c r="AG17" s="58">
        <f t="shared" si="8"/>
        <v>613125</v>
      </c>
      <c r="AH17" s="53">
        <f>AE16</f>
        <v>1</v>
      </c>
      <c r="AI17" s="97">
        <f>+AH17*Inputs!B6</f>
        <v>5625</v>
      </c>
      <c r="AJ17" s="57">
        <f t="shared" si="12"/>
        <v>613125</v>
      </c>
      <c r="AK17" s="50">
        <f>AH16</f>
        <v>1</v>
      </c>
      <c r="AL17" s="98">
        <f>Inputs!B6*AK17</f>
        <v>5625</v>
      </c>
      <c r="AM17" s="58">
        <f t="shared" si="10"/>
        <v>613125</v>
      </c>
      <c r="AN17" s="53">
        <f>AK16</f>
        <v>1</v>
      </c>
      <c r="AO17" s="97">
        <f>Inputs!B6*AN17</f>
        <v>5625</v>
      </c>
      <c r="AP17" s="57">
        <f t="shared" si="11"/>
        <v>613125</v>
      </c>
    </row>
    <row r="18" spans="1:46" x14ac:dyDescent="0.25">
      <c r="A18" s="44">
        <v>99490</v>
      </c>
      <c r="B18" s="45" t="s">
        <v>37</v>
      </c>
      <c r="C18" s="46">
        <v>54.47</v>
      </c>
      <c r="D18" s="47">
        <v>0.05</v>
      </c>
      <c r="E18" s="48">
        <v>12</v>
      </c>
      <c r="F18" s="49" t="s">
        <v>35</v>
      </c>
      <c r="G18" s="50">
        <v>0</v>
      </c>
      <c r="H18" s="51">
        <f>Inputs!B6*G18</f>
        <v>0</v>
      </c>
      <c r="I18" s="52">
        <f t="shared" si="0"/>
        <v>0</v>
      </c>
      <c r="J18" s="53">
        <f>J17*D18</f>
        <v>1.0000000000000002E-2</v>
      </c>
      <c r="K18" s="54">
        <f>+(Inputs!B6*J18)</f>
        <v>56.250000000000014</v>
      </c>
      <c r="L18" s="55">
        <f t="shared" si="1"/>
        <v>3063.9375000000009</v>
      </c>
      <c r="M18" s="50">
        <f>M17*D18</f>
        <v>2.5000000000000001E-2</v>
      </c>
      <c r="N18" s="56">
        <f>Inputs!B6*M18</f>
        <v>140.625</v>
      </c>
      <c r="O18" s="52">
        <f t="shared" si="2"/>
        <v>7659.84375</v>
      </c>
      <c r="P18" s="53">
        <f>P17*$D$18</f>
        <v>4.5000000000000005E-2</v>
      </c>
      <c r="Q18" s="54">
        <f>Inputs!B6*P18</f>
        <v>253.12500000000003</v>
      </c>
      <c r="R18" s="55">
        <f t="shared" si="3"/>
        <v>13787.718750000002</v>
      </c>
      <c r="S18" s="50">
        <f>S17*D18</f>
        <v>0.05</v>
      </c>
      <c r="T18" s="56">
        <f>Inputs!B6*S18</f>
        <v>281.25</v>
      </c>
      <c r="U18" s="52">
        <f t="shared" si="4"/>
        <v>15319.6875</v>
      </c>
      <c r="V18" s="53">
        <f>V17*D18</f>
        <v>0.05</v>
      </c>
      <c r="W18" s="97">
        <f>Inputs!B6*V18</f>
        <v>281.25</v>
      </c>
      <c r="X18" s="57">
        <f t="shared" si="5"/>
        <v>15319.6875</v>
      </c>
      <c r="Y18" s="50">
        <f>Y17*$D$18</f>
        <v>0.05</v>
      </c>
      <c r="Z18" s="98">
        <f>Inputs!B6*Y18</f>
        <v>281.25</v>
      </c>
      <c r="AA18" s="58">
        <f t="shared" si="6"/>
        <v>15319.6875</v>
      </c>
      <c r="AB18" s="53">
        <f>AB17*$D$18</f>
        <v>0.05</v>
      </c>
      <c r="AC18" s="97">
        <f>Inputs!B6*AB18</f>
        <v>281.25</v>
      </c>
      <c r="AD18" s="57">
        <f t="shared" si="7"/>
        <v>15319.6875</v>
      </c>
      <c r="AE18" s="50">
        <f>AE17*$D$18</f>
        <v>0.05</v>
      </c>
      <c r="AF18" s="98">
        <f>Inputs!B6*AE18</f>
        <v>281.25</v>
      </c>
      <c r="AG18" s="58">
        <f t="shared" si="8"/>
        <v>15319.6875</v>
      </c>
      <c r="AH18" s="53">
        <f>AH17*$D$18</f>
        <v>0.05</v>
      </c>
      <c r="AI18" s="97">
        <f>+AH18*Inputs!B6</f>
        <v>281.25</v>
      </c>
      <c r="AJ18" s="57">
        <f t="shared" si="12"/>
        <v>15319.6875</v>
      </c>
      <c r="AK18" s="50">
        <f>AK17*$D$18</f>
        <v>0.05</v>
      </c>
      <c r="AL18" s="98">
        <f>Inputs!B6*AK18</f>
        <v>281.25</v>
      </c>
      <c r="AM18" s="58">
        <f t="shared" si="10"/>
        <v>15319.6875</v>
      </c>
      <c r="AN18" s="53">
        <f>AN17*$D$18</f>
        <v>0.05</v>
      </c>
      <c r="AO18" s="97">
        <f>Inputs!B6*AN18</f>
        <v>281.25</v>
      </c>
      <c r="AP18" s="57">
        <f t="shared" si="11"/>
        <v>15319.6875</v>
      </c>
    </row>
    <row r="19" spans="1:46" ht="15.75" thickBot="1" x14ac:dyDescent="0.3">
      <c r="A19" s="59" t="s">
        <v>38</v>
      </c>
      <c r="B19" s="60" t="s">
        <v>39</v>
      </c>
      <c r="C19" s="61">
        <v>39.450000000000003</v>
      </c>
      <c r="D19" s="62">
        <v>0.2</v>
      </c>
      <c r="E19" s="99">
        <v>1</v>
      </c>
      <c r="F19" s="64" t="s">
        <v>24</v>
      </c>
      <c r="G19" s="65">
        <f>G15</f>
        <v>0.06</v>
      </c>
      <c r="H19" s="66">
        <f>Inputs!B6*G19</f>
        <v>337.5</v>
      </c>
      <c r="I19" s="67">
        <f t="shared" si="0"/>
        <v>13314.375000000002</v>
      </c>
      <c r="J19" s="68">
        <f>J15</f>
        <v>0.15</v>
      </c>
      <c r="K19" s="69">
        <f>+((Inputs!B6*J19)-H19)</f>
        <v>506.25</v>
      </c>
      <c r="L19" s="70">
        <f t="shared" si="1"/>
        <v>19971.5625</v>
      </c>
      <c r="M19" s="65">
        <f>M16*D19</f>
        <v>0.18000000000000002</v>
      </c>
      <c r="N19" s="71">
        <f>(Inputs!B6*M19)-K19-H19</f>
        <v>168.75000000000011</v>
      </c>
      <c r="O19" s="67">
        <f t="shared" si="2"/>
        <v>6657.1875000000045</v>
      </c>
      <c r="P19" s="68">
        <f>P16*$D$19</f>
        <v>0.2</v>
      </c>
      <c r="Q19" s="69">
        <f>(Inputs!B6*P19)-N19-K19-H19</f>
        <v>112.49999999999989</v>
      </c>
      <c r="R19" s="70">
        <f t="shared" si="3"/>
        <v>4438.1249999999955</v>
      </c>
      <c r="S19" s="65">
        <f>S16*D19</f>
        <v>0.2</v>
      </c>
      <c r="T19" s="71">
        <f>(Inputs!B6*S19)-Q19-N19-K19-H19</f>
        <v>0</v>
      </c>
      <c r="U19" s="67">
        <f t="shared" si="4"/>
        <v>0</v>
      </c>
      <c r="V19" s="68">
        <f>V16*D19</f>
        <v>0.2</v>
      </c>
      <c r="W19" s="100">
        <f>(Inputs!B6*V19)-T19-Q19-N19-K19-H19</f>
        <v>0</v>
      </c>
      <c r="X19" s="72">
        <f t="shared" si="5"/>
        <v>0</v>
      </c>
      <c r="Y19" s="65">
        <f>Y16*$D$19</f>
        <v>0.2</v>
      </c>
      <c r="Z19" s="101">
        <v>0</v>
      </c>
      <c r="AA19" s="73">
        <f t="shared" si="6"/>
        <v>0</v>
      </c>
      <c r="AB19" s="68">
        <f>AB16*$D$19</f>
        <v>0.2</v>
      </c>
      <c r="AC19" s="100">
        <v>0</v>
      </c>
      <c r="AD19" s="72">
        <f t="shared" si="7"/>
        <v>0</v>
      </c>
      <c r="AE19" s="65">
        <f>AE16*$D$19</f>
        <v>0.2</v>
      </c>
      <c r="AF19" s="101">
        <v>0</v>
      </c>
      <c r="AG19" s="73">
        <f t="shared" si="8"/>
        <v>0</v>
      </c>
      <c r="AH19" s="68">
        <f>AH16*$D$19</f>
        <v>0.2</v>
      </c>
      <c r="AI19" s="100">
        <v>0</v>
      </c>
      <c r="AJ19" s="72">
        <f t="shared" si="12"/>
        <v>0</v>
      </c>
      <c r="AK19" s="65">
        <f>AK16*$D$19</f>
        <v>0.2</v>
      </c>
      <c r="AL19" s="101">
        <v>0</v>
      </c>
      <c r="AM19" s="73">
        <f t="shared" si="10"/>
        <v>0</v>
      </c>
      <c r="AN19" s="68">
        <f>AN16*$D$19</f>
        <v>0.2</v>
      </c>
      <c r="AO19" s="100">
        <v>0</v>
      </c>
      <c r="AP19" s="72">
        <f t="shared" si="11"/>
        <v>0</v>
      </c>
    </row>
    <row r="20" spans="1:46" x14ac:dyDescent="0.25">
      <c r="A20" s="102"/>
      <c r="B20" s="103"/>
      <c r="C20" s="104"/>
      <c r="D20" s="105"/>
      <c r="E20" s="106"/>
      <c r="F20" s="102"/>
      <c r="G20" s="107" t="s">
        <v>1</v>
      </c>
      <c r="H20" s="108">
        <f>H9+H17</f>
        <v>1125</v>
      </c>
      <c r="I20" s="109"/>
      <c r="J20" s="105"/>
      <c r="K20" s="108">
        <f>K9+K17</f>
        <v>2812.5</v>
      </c>
      <c r="L20" s="105"/>
      <c r="M20" s="105"/>
      <c r="N20" s="108">
        <f>N9+N17</f>
        <v>5062.5</v>
      </c>
      <c r="O20" s="105"/>
      <c r="P20" s="105"/>
      <c r="Q20" s="108">
        <f>Q9+Q17</f>
        <v>5625</v>
      </c>
      <c r="R20" s="105"/>
      <c r="S20" s="105"/>
      <c r="T20" s="108">
        <f>T9+T17</f>
        <v>5625</v>
      </c>
      <c r="U20" s="102"/>
      <c r="V20" s="102"/>
      <c r="W20" s="108">
        <f>W9+W17</f>
        <v>5625</v>
      </c>
      <c r="X20" s="102"/>
      <c r="Y20" s="102"/>
      <c r="Z20" s="108">
        <f>Z9+Z17</f>
        <v>5625</v>
      </c>
      <c r="AA20" s="110"/>
      <c r="AB20" s="102"/>
      <c r="AC20" s="108">
        <f>AC9+AC17</f>
        <v>5625</v>
      </c>
      <c r="AD20" s="110"/>
      <c r="AE20" s="102"/>
      <c r="AF20" s="108">
        <f>AF9+AF17</f>
        <v>5625</v>
      </c>
      <c r="AG20" s="110"/>
      <c r="AH20" s="102"/>
      <c r="AI20" s="108">
        <f>AI9+AI17</f>
        <v>5625</v>
      </c>
      <c r="AJ20" s="110"/>
      <c r="AK20" s="102"/>
      <c r="AL20" s="108">
        <f>AL9+AL17</f>
        <v>5625</v>
      </c>
      <c r="AM20" s="110"/>
      <c r="AN20" s="102"/>
      <c r="AO20" s="108">
        <f>AO9+AO17</f>
        <v>5625</v>
      </c>
      <c r="AP20" s="110"/>
    </row>
    <row r="21" spans="1:46" x14ac:dyDescent="0.25">
      <c r="A21" s="111"/>
      <c r="B21" s="103"/>
      <c r="C21" s="104"/>
      <c r="D21" s="105"/>
      <c r="E21" s="106"/>
      <c r="F21" s="112" t="s">
        <v>40</v>
      </c>
      <c r="G21" s="107" t="s">
        <v>41</v>
      </c>
      <c r="H21" s="108">
        <f>H10+H15+H17</f>
        <v>1462.5</v>
      </c>
      <c r="I21" s="113"/>
      <c r="J21" s="114"/>
      <c r="K21" s="108">
        <f>K10+K15+K17</f>
        <v>3656.25</v>
      </c>
      <c r="M21" s="114"/>
      <c r="N21" s="108">
        <f>N10+N15+N17</f>
        <v>6581.25</v>
      </c>
      <c r="P21" s="114"/>
      <c r="Q21" s="108">
        <f>Q10+Q15+Q17</f>
        <v>7312.5</v>
      </c>
      <c r="S21" s="114"/>
      <c r="T21" s="108">
        <f>T10+T15+T17</f>
        <v>7312.5</v>
      </c>
      <c r="V21" s="115"/>
      <c r="W21" s="108">
        <f>W10+W15+W17</f>
        <v>7312.5</v>
      </c>
      <c r="Y21" s="115"/>
      <c r="Z21" s="108">
        <f>Z10+Z15+Z17</f>
        <v>7312.5</v>
      </c>
      <c r="AB21" s="115"/>
      <c r="AC21" s="108">
        <f>AC10+AC15+AC17</f>
        <v>7312.5</v>
      </c>
      <c r="AE21" s="115"/>
      <c r="AF21" s="108">
        <f>AF10+AF15+AF17</f>
        <v>7312.5</v>
      </c>
      <c r="AH21" s="115"/>
      <c r="AI21" s="108">
        <f>AI10+AI15+AI17</f>
        <v>7312.5</v>
      </c>
      <c r="AK21" s="115"/>
      <c r="AL21" s="108">
        <f>AL10+AL15+AL17</f>
        <v>7312.5</v>
      </c>
      <c r="AN21" s="115"/>
      <c r="AO21" s="108">
        <f>AO10+AO15+AO17</f>
        <v>7312.5</v>
      </c>
    </row>
    <row r="22" spans="1:46" x14ac:dyDescent="0.25">
      <c r="A22" s="111"/>
      <c r="B22" s="103"/>
      <c r="D22" s="105"/>
      <c r="E22" s="107" t="s">
        <v>42</v>
      </c>
      <c r="F22" s="114">
        <f>+AP22+AM22+AJ22+AG22+AD22+AA22+X22+U22+R22+O22+L22+I22</f>
        <v>9338809.5</v>
      </c>
      <c r="H22" s="108"/>
      <c r="I22" s="114">
        <f>SUM(I9:I19)</f>
        <v>351176.625</v>
      </c>
      <c r="J22" s="114"/>
      <c r="K22" s="108"/>
      <c r="L22" s="114">
        <f>SUM(L9:L19)</f>
        <v>685204.875</v>
      </c>
      <c r="M22" s="114"/>
      <c r="N22" s="108"/>
      <c r="O22" s="114">
        <f>SUM(O9:O19)</f>
        <v>1078481.53125</v>
      </c>
      <c r="P22" s="114"/>
      <c r="Q22" s="108"/>
      <c r="R22" s="114">
        <f>SUM(R9:R19)</f>
        <v>886348.96875</v>
      </c>
      <c r="S22" s="114"/>
      <c r="T22" s="108"/>
      <c r="U22" s="114">
        <f>SUM(U9:U19)</f>
        <v>792199.6875</v>
      </c>
      <c r="V22" s="115"/>
      <c r="W22" s="108"/>
      <c r="X22" s="114">
        <f>SUM(X9:X19)</f>
        <v>792199.6875</v>
      </c>
      <c r="Y22" s="115"/>
      <c r="Z22" s="108"/>
      <c r="AA22" s="114">
        <f>SUM(AA9:AA19)</f>
        <v>792199.6875</v>
      </c>
      <c r="AB22" s="115"/>
      <c r="AC22" s="108"/>
      <c r="AD22" s="114">
        <f>SUM(AD9:AD19)</f>
        <v>792199.6875</v>
      </c>
      <c r="AE22" s="115"/>
      <c r="AF22" s="108"/>
      <c r="AG22" s="114">
        <f>SUM(AG9:AG19)</f>
        <v>792199.6875</v>
      </c>
      <c r="AH22" s="115"/>
      <c r="AI22" s="108"/>
      <c r="AJ22" s="114">
        <f>SUM(AJ9:AJ19)</f>
        <v>792199.6875</v>
      </c>
      <c r="AK22" s="115"/>
      <c r="AL22" s="108"/>
      <c r="AM22" s="114">
        <f>SUM(AM9:AM19)</f>
        <v>792199.6875</v>
      </c>
      <c r="AN22" s="115"/>
      <c r="AO22" s="108"/>
      <c r="AP22" s="114">
        <f>SUM(AP9:AP19)</f>
        <v>792199.6875</v>
      </c>
      <c r="AR22" s="116"/>
      <c r="AS22" s="113"/>
      <c r="AT22" s="113"/>
    </row>
    <row r="23" spans="1:46" x14ac:dyDescent="0.25">
      <c r="A23" s="117"/>
      <c r="B23" s="117"/>
      <c r="D23" s="102"/>
      <c r="E23" s="118" t="s">
        <v>43</v>
      </c>
      <c r="F23" s="119">
        <f>+AP23+AM23+AJ23+AG23+AD23+AA23+X23+U23+R23+O23+L23+I23</f>
        <v>6070226.1750000007</v>
      </c>
      <c r="I23" s="119">
        <f>+I22*'CPT Economics'!$A$2</f>
        <v>228264.80624999999</v>
      </c>
      <c r="J23" s="102"/>
      <c r="K23" s="102"/>
      <c r="L23" s="119">
        <f>+L22*'CPT Economics'!$A$2</f>
        <v>445383.16875000001</v>
      </c>
      <c r="M23" s="102"/>
      <c r="N23" s="102"/>
      <c r="O23" s="119">
        <f>+O22*'CPT Economics'!$A$2</f>
        <v>701012.99531250005</v>
      </c>
      <c r="P23" s="102"/>
      <c r="Q23" s="102"/>
      <c r="R23" s="119">
        <f>+R22*'CPT Economics'!$A$2</f>
        <v>576126.82968750002</v>
      </c>
      <c r="S23" s="102"/>
      <c r="T23" s="102"/>
      <c r="U23" s="119">
        <f>+U22*'CPT Economics'!$A$2</f>
        <v>514929.796875</v>
      </c>
      <c r="V23" s="102"/>
      <c r="W23" s="102"/>
      <c r="X23" s="119">
        <f>+X22*'CPT Economics'!$A$2</f>
        <v>514929.796875</v>
      </c>
      <c r="Y23" s="102"/>
      <c r="Z23" s="102"/>
      <c r="AA23" s="119">
        <f>+AA22*'CPT Economics'!$A$2</f>
        <v>514929.796875</v>
      </c>
      <c r="AB23" s="102"/>
      <c r="AC23" s="102"/>
      <c r="AD23" s="119">
        <f>+AD22*'CPT Economics'!$A$2</f>
        <v>514929.796875</v>
      </c>
      <c r="AE23" s="102"/>
      <c r="AF23" s="102"/>
      <c r="AG23" s="119">
        <f>+AG22*'CPT Economics'!$A$2</f>
        <v>514929.796875</v>
      </c>
      <c r="AH23" s="102"/>
      <c r="AI23" s="102"/>
      <c r="AJ23" s="119">
        <f>+AJ22*'CPT Economics'!$A$2</f>
        <v>514929.796875</v>
      </c>
      <c r="AK23" s="102"/>
      <c r="AL23" s="102"/>
      <c r="AM23" s="119">
        <f>+AM22*'CPT Economics'!$A$2</f>
        <v>514929.796875</v>
      </c>
      <c r="AN23" s="102"/>
      <c r="AO23" s="102"/>
      <c r="AP23" s="119">
        <f>+AP22*'CPT Economics'!$A$2</f>
        <v>514929.796875</v>
      </c>
    </row>
    <row r="24" spans="1:46" x14ac:dyDescent="0.25">
      <c r="A24" s="117"/>
      <c r="B24" s="117"/>
      <c r="C24" s="113"/>
      <c r="D24" s="102"/>
      <c r="E24" s="118" t="s">
        <v>44</v>
      </c>
      <c r="F24" s="119">
        <f>+AP24+AM24+AJ24+AG24+AD24+AA24+X24+U24+R24+O24+L24+I24</f>
        <v>3268583.3249999997</v>
      </c>
      <c r="H24" s="120">
        <f>1-'CPT Economics'!A2</f>
        <v>0.35</v>
      </c>
      <c r="I24" s="119">
        <f>I22-I23</f>
        <v>122911.81875000001</v>
      </c>
      <c r="J24" s="102"/>
      <c r="K24" s="102"/>
      <c r="L24" s="119">
        <f>L22-L23</f>
        <v>239821.70624999999</v>
      </c>
      <c r="M24" s="102"/>
      <c r="N24" s="102"/>
      <c r="O24" s="119">
        <f>O22-O23</f>
        <v>377468.53593749995</v>
      </c>
      <c r="P24" s="102"/>
      <c r="Q24" s="102"/>
      <c r="R24" s="119">
        <f>R22-R23</f>
        <v>310222.13906249998</v>
      </c>
      <c r="S24" s="102"/>
      <c r="T24" s="102"/>
      <c r="U24" s="119">
        <f>U22-U23</f>
        <v>277269.890625</v>
      </c>
      <c r="V24" s="102"/>
      <c r="W24" s="102"/>
      <c r="X24" s="119">
        <f>X22-X23</f>
        <v>277269.890625</v>
      </c>
      <c r="Y24" s="102"/>
      <c r="Z24" s="102"/>
      <c r="AA24" s="119">
        <f>AA22-AA23</f>
        <v>277269.890625</v>
      </c>
      <c r="AB24" s="102"/>
      <c r="AC24" s="102"/>
      <c r="AD24" s="119">
        <f>AD22-AD23</f>
        <v>277269.890625</v>
      </c>
      <c r="AE24" s="102"/>
      <c r="AF24" s="102"/>
      <c r="AG24" s="119">
        <f>AG22-AG23</f>
        <v>277269.890625</v>
      </c>
      <c r="AH24" s="102"/>
      <c r="AI24" s="102"/>
      <c r="AJ24" s="119">
        <f>AJ22-AJ23</f>
        <v>277269.890625</v>
      </c>
      <c r="AK24" s="102"/>
      <c r="AL24" s="102"/>
      <c r="AM24" s="119">
        <f>AM22-AM23</f>
        <v>277269.890625</v>
      </c>
      <c r="AN24" s="102"/>
      <c r="AO24" s="102"/>
      <c r="AP24" s="119">
        <f>AP22-AP23</f>
        <v>277269.890625</v>
      </c>
    </row>
    <row r="25" spans="1:46" ht="18.75" x14ac:dyDescent="0.25">
      <c r="A25" s="1" t="s">
        <v>45</v>
      </c>
      <c r="B25" s="117"/>
      <c r="D25" s="102"/>
      <c r="E25" s="117"/>
      <c r="F25" s="137"/>
      <c r="G25" s="118"/>
      <c r="H25" s="102"/>
      <c r="I25" s="138"/>
      <c r="J25" s="102"/>
      <c r="K25" s="102"/>
      <c r="L25" s="137"/>
      <c r="M25" s="102"/>
      <c r="N25" s="102"/>
      <c r="O25" s="137"/>
      <c r="P25" s="102"/>
      <c r="Q25" s="102"/>
      <c r="R25" s="137"/>
      <c r="S25" s="102"/>
      <c r="T25" s="102"/>
      <c r="U25" s="137"/>
      <c r="V25" s="102"/>
      <c r="W25" s="102"/>
      <c r="X25" s="137"/>
      <c r="Y25" s="102"/>
      <c r="Z25" s="102"/>
      <c r="AA25" s="137"/>
      <c r="AB25" s="102"/>
      <c r="AC25" s="102"/>
      <c r="AD25" s="137"/>
      <c r="AE25" s="102"/>
      <c r="AF25" s="102"/>
      <c r="AG25" s="137"/>
      <c r="AH25" s="102"/>
      <c r="AI25" s="102"/>
      <c r="AJ25" s="137"/>
      <c r="AK25" s="102"/>
      <c r="AL25" s="102"/>
      <c r="AM25" s="137"/>
      <c r="AN25" s="102"/>
      <c r="AO25" s="102"/>
      <c r="AP25" s="137"/>
    </row>
    <row r="26" spans="1:46" ht="15.75" thickBot="1" x14ac:dyDescent="0.3">
      <c r="A26" s="117"/>
      <c r="B26" s="117"/>
      <c r="D26" s="102"/>
      <c r="E26" s="117"/>
      <c r="F26" s="102"/>
      <c r="G26" s="102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S26" s="113"/>
    </row>
    <row r="27" spans="1:46" ht="18.75" x14ac:dyDescent="0.3">
      <c r="A27" s="6"/>
      <c r="B27" s="13"/>
      <c r="C27" s="14"/>
      <c r="D27" s="15"/>
      <c r="E27" s="6"/>
      <c r="F27" s="6"/>
      <c r="G27" s="145" t="s">
        <v>46</v>
      </c>
      <c r="H27" s="146"/>
      <c r="I27" s="147"/>
      <c r="J27" s="148" t="s">
        <v>47</v>
      </c>
      <c r="K27" s="149"/>
      <c r="L27" s="150"/>
      <c r="M27" s="145" t="s">
        <v>48</v>
      </c>
      <c r="N27" s="146"/>
      <c r="O27" s="147"/>
      <c r="P27" s="142" t="s">
        <v>49</v>
      </c>
      <c r="Q27" s="143"/>
      <c r="R27" s="144"/>
      <c r="S27" s="145" t="s">
        <v>50</v>
      </c>
      <c r="T27" s="146"/>
      <c r="U27" s="147"/>
      <c r="V27" s="142" t="s">
        <v>51</v>
      </c>
      <c r="W27" s="143"/>
      <c r="X27" s="144"/>
      <c r="Y27" s="151" t="s">
        <v>52</v>
      </c>
      <c r="Z27" s="152"/>
      <c r="AA27" s="153"/>
      <c r="AB27" s="142" t="s">
        <v>53</v>
      </c>
      <c r="AC27" s="143"/>
      <c r="AD27" s="144"/>
      <c r="AE27" s="151" t="s">
        <v>54</v>
      </c>
      <c r="AF27" s="152"/>
      <c r="AG27" s="153"/>
      <c r="AH27" s="142" t="s">
        <v>55</v>
      </c>
      <c r="AI27" s="143"/>
      <c r="AJ27" s="144"/>
      <c r="AK27" s="151" t="s">
        <v>56</v>
      </c>
      <c r="AL27" s="152"/>
      <c r="AM27" s="153"/>
      <c r="AN27" s="142" t="s">
        <v>57</v>
      </c>
      <c r="AO27" s="143"/>
      <c r="AP27" s="144"/>
      <c r="AQ27" s="6"/>
      <c r="AS27" s="113"/>
    </row>
    <row r="28" spans="1:46" ht="36.75" thickBot="1" x14ac:dyDescent="0.3">
      <c r="A28" s="16" t="s">
        <v>0</v>
      </c>
      <c r="B28" s="16" t="s">
        <v>15</v>
      </c>
      <c r="C28" s="17" t="s">
        <v>16</v>
      </c>
      <c r="D28" s="17" t="s">
        <v>17</v>
      </c>
      <c r="E28" s="17" t="s">
        <v>18</v>
      </c>
      <c r="F28" s="18" t="s">
        <v>19</v>
      </c>
      <c r="G28" s="19" t="s">
        <v>20</v>
      </c>
      <c r="H28" s="20" t="s">
        <v>21</v>
      </c>
      <c r="I28" s="21" t="s">
        <v>22</v>
      </c>
      <c r="J28" s="22" t="s">
        <v>20</v>
      </c>
      <c r="K28" s="23" t="s">
        <v>21</v>
      </c>
      <c r="L28" s="24" t="s">
        <v>22</v>
      </c>
      <c r="M28" s="19" t="s">
        <v>20</v>
      </c>
      <c r="N28" s="20" t="s">
        <v>21</v>
      </c>
      <c r="O28" s="21" t="s">
        <v>22</v>
      </c>
      <c r="P28" s="22" t="s">
        <v>20</v>
      </c>
      <c r="Q28" s="23" t="s">
        <v>21</v>
      </c>
      <c r="R28" s="24" t="s">
        <v>22</v>
      </c>
      <c r="S28" s="19" t="s">
        <v>20</v>
      </c>
      <c r="T28" s="20" t="s">
        <v>21</v>
      </c>
      <c r="U28" s="21" t="s">
        <v>22</v>
      </c>
      <c r="V28" s="22" t="s">
        <v>20</v>
      </c>
      <c r="W28" s="23" t="s">
        <v>21</v>
      </c>
      <c r="X28" s="24" t="s">
        <v>22</v>
      </c>
      <c r="Y28" s="19" t="s">
        <v>20</v>
      </c>
      <c r="Z28" s="25" t="s">
        <v>21</v>
      </c>
      <c r="AA28" s="26" t="s">
        <v>22</v>
      </c>
      <c r="AB28" s="22" t="s">
        <v>20</v>
      </c>
      <c r="AC28" s="23" t="s">
        <v>21</v>
      </c>
      <c r="AD28" s="27" t="s">
        <v>22</v>
      </c>
      <c r="AE28" s="19" t="s">
        <v>20</v>
      </c>
      <c r="AF28" s="20" t="s">
        <v>21</v>
      </c>
      <c r="AG28" s="26" t="s">
        <v>22</v>
      </c>
      <c r="AH28" s="22" t="s">
        <v>20</v>
      </c>
      <c r="AI28" s="23" t="s">
        <v>21</v>
      </c>
      <c r="AJ28" s="27" t="s">
        <v>22</v>
      </c>
      <c r="AK28" s="19" t="s">
        <v>20</v>
      </c>
      <c r="AL28" s="20" t="s">
        <v>21</v>
      </c>
      <c r="AM28" s="26" t="s">
        <v>22</v>
      </c>
      <c r="AN28" s="22" t="s">
        <v>20</v>
      </c>
      <c r="AO28" s="23" t="s">
        <v>21</v>
      </c>
      <c r="AP28" s="27" t="s">
        <v>22</v>
      </c>
      <c r="AQ28" s="28"/>
      <c r="AS28" s="113"/>
    </row>
    <row r="29" spans="1:46" x14ac:dyDescent="0.25">
      <c r="A29" s="29">
        <f t="shared" ref="A29:B39" si="13">A9</f>
        <v>99441</v>
      </c>
      <c r="B29" s="30" t="str">
        <f t="shared" si="13"/>
        <v>Eval &amp; Mgmt Visit</v>
      </c>
      <c r="C29" s="31">
        <f t="shared" ref="C29:C39" si="14">C9</f>
        <v>30.85</v>
      </c>
      <c r="D29" s="32">
        <f t="shared" ref="D29:E39" si="15">D9</f>
        <v>1</v>
      </c>
      <c r="E29" s="33">
        <f t="shared" si="15"/>
        <v>1</v>
      </c>
      <c r="F29" s="34" t="s">
        <v>24</v>
      </c>
      <c r="G29" s="35">
        <f>G9</f>
        <v>0.2</v>
      </c>
      <c r="H29" s="36">
        <f>Inputs!B6*G29</f>
        <v>1125</v>
      </c>
      <c r="I29" s="37">
        <f t="shared" ref="I29:I39" si="16">+H29*C29</f>
        <v>34706.25</v>
      </c>
      <c r="J29" s="38">
        <f>J9</f>
        <v>0.5</v>
      </c>
      <c r="K29" s="39">
        <f>+(Inputs!B6*J29)-H29</f>
        <v>1687.5</v>
      </c>
      <c r="L29" s="40">
        <f t="shared" ref="L29:L39" si="17">+K29*C29</f>
        <v>52059.375</v>
      </c>
      <c r="M29" s="35">
        <f>M9</f>
        <v>0.9</v>
      </c>
      <c r="N29" s="41">
        <f>Inputs!B6*M29-(K29+H29)</f>
        <v>2250</v>
      </c>
      <c r="O29" s="37">
        <f t="shared" ref="O29:O39" si="18">+N29*C29</f>
        <v>69412.5</v>
      </c>
      <c r="P29" s="38">
        <f>P9</f>
        <v>1</v>
      </c>
      <c r="Q29" s="39">
        <f>Inputs!B6*P29-(H29+K29+N29)</f>
        <v>562.5</v>
      </c>
      <c r="R29" s="40">
        <f t="shared" ref="R29:R39" si="19">+Q29*C29</f>
        <v>17353.125</v>
      </c>
      <c r="S29" s="35">
        <f>S9</f>
        <v>1</v>
      </c>
      <c r="T29" s="41">
        <f>Inputs!B6*S29-(K29+N29+Q29+H29)</f>
        <v>0</v>
      </c>
      <c r="U29" s="37">
        <f t="shared" ref="U29:U39" si="20">+T29*C29</f>
        <v>0</v>
      </c>
      <c r="V29" s="38">
        <v>1</v>
      </c>
      <c r="W29" s="39">
        <f>Inputs!B6*V29-(N29+Q29+T29+K29+H29)</f>
        <v>0</v>
      </c>
      <c r="X29" s="42">
        <f t="shared" ref="X29:X39" si="21">+W29*C29</f>
        <v>0</v>
      </c>
      <c r="Y29" s="35">
        <v>1</v>
      </c>
      <c r="Z29" s="41">
        <f>Inputs!B6*Y29-(Q29+T29+W29+N29+K29+H29)</f>
        <v>0</v>
      </c>
      <c r="AA29" s="43">
        <f t="shared" ref="AA29:AA39" si="22">+Z29*C29</f>
        <v>0</v>
      </c>
      <c r="AB29" s="38">
        <v>1</v>
      </c>
      <c r="AC29" s="39">
        <f>Inputs!B6*AB29-(T29+W29+Z29+Q29+N29+K29+H29)</f>
        <v>0</v>
      </c>
      <c r="AD29" s="42">
        <f t="shared" ref="AD29:AD39" si="23">+AC29*C29</f>
        <v>0</v>
      </c>
      <c r="AE29" s="35">
        <v>1</v>
      </c>
      <c r="AF29" s="41">
        <f>Inputs!B6*AE29-(H29+K29+N29+Q29+T29+W29+Z29+AC29)</f>
        <v>0</v>
      </c>
      <c r="AG29" s="43">
        <f t="shared" ref="AG29:AG39" si="24">+AF29*C29</f>
        <v>0</v>
      </c>
      <c r="AH29" s="38">
        <v>1</v>
      </c>
      <c r="AI29" s="39">
        <f>Inputs!B6*AH29-(H29+K29+N29+Q29+T29+W29+Z29+AC29+AF29)</f>
        <v>0</v>
      </c>
      <c r="AJ29" s="42">
        <f t="shared" ref="AJ29:AJ34" si="25">+AI29*I29</f>
        <v>0</v>
      </c>
      <c r="AK29" s="35">
        <v>1</v>
      </c>
      <c r="AL29" s="41">
        <f>Inputs!B6*AK29-(H29+K29+N29+Q29+T29+W29+Z29+AC29+AF29+AI29)</f>
        <v>0</v>
      </c>
      <c r="AM29" s="43">
        <f t="shared" ref="AM29:AM39" si="26">+AL29*C29</f>
        <v>0</v>
      </c>
      <c r="AN29" s="38">
        <v>1</v>
      </c>
      <c r="AO29" s="39">
        <f>Inputs!B6*AN29-(H29+K29+N29+Q29+T29+W29+Z29+AC29+AF29+AI29+AL29)</f>
        <v>0</v>
      </c>
      <c r="AP29" s="42">
        <f t="shared" ref="AP29:AP39" si="27">+AO29*C29</f>
        <v>0</v>
      </c>
    </row>
    <row r="30" spans="1:46" x14ac:dyDescent="0.25">
      <c r="A30" s="44">
        <f t="shared" si="13"/>
        <v>96160</v>
      </c>
      <c r="B30" s="45" t="str">
        <f t="shared" si="13"/>
        <v>Health Risk Assessment</v>
      </c>
      <c r="C30" s="46">
        <f t="shared" si="14"/>
        <v>2.31</v>
      </c>
      <c r="D30" s="47">
        <f t="shared" si="15"/>
        <v>1</v>
      </c>
      <c r="E30" s="48">
        <f t="shared" si="15"/>
        <v>1</v>
      </c>
      <c r="F30" s="49" t="s">
        <v>24</v>
      </c>
      <c r="G30" s="50">
        <f>G9</f>
        <v>0.2</v>
      </c>
      <c r="H30" s="51">
        <f>Inputs!B6*G30</f>
        <v>1125</v>
      </c>
      <c r="I30" s="52">
        <f t="shared" si="16"/>
        <v>2598.75</v>
      </c>
      <c r="J30" s="53">
        <f>J9</f>
        <v>0.5</v>
      </c>
      <c r="K30" s="54">
        <f>+(Inputs!B6*J30)-H30</f>
        <v>1687.5</v>
      </c>
      <c r="L30" s="55">
        <f t="shared" si="17"/>
        <v>3898.125</v>
      </c>
      <c r="M30" s="50">
        <f>M9</f>
        <v>0.9</v>
      </c>
      <c r="N30" s="56">
        <f>Inputs!B6*M30-(K30+H30)</f>
        <v>2250</v>
      </c>
      <c r="O30" s="52">
        <f t="shared" si="18"/>
        <v>5197.5</v>
      </c>
      <c r="P30" s="53">
        <f>P9</f>
        <v>1</v>
      </c>
      <c r="Q30" s="54">
        <f>Inputs!B6*P30-(H30+K30+N30)</f>
        <v>562.5</v>
      </c>
      <c r="R30" s="55">
        <f t="shared" si="19"/>
        <v>1299.375</v>
      </c>
      <c r="S30" s="50">
        <f>S9</f>
        <v>1</v>
      </c>
      <c r="T30" s="56">
        <f>Inputs!B6*S30-(K30+N30+Q30+H30)</f>
        <v>0</v>
      </c>
      <c r="U30" s="52">
        <f t="shared" si="20"/>
        <v>0</v>
      </c>
      <c r="V30" s="53">
        <v>1</v>
      </c>
      <c r="W30" s="54">
        <f>Inputs!B6*V30-(N30+Q30+T30+K30+H30)</f>
        <v>0</v>
      </c>
      <c r="X30" s="57">
        <f t="shared" si="21"/>
        <v>0</v>
      </c>
      <c r="Y30" s="50">
        <v>1</v>
      </c>
      <c r="Z30" s="56">
        <f>Inputs!B6*Y30-(Q30+T30+W30+N30+K30+H30)</f>
        <v>0</v>
      </c>
      <c r="AA30" s="58">
        <f t="shared" si="22"/>
        <v>0</v>
      </c>
      <c r="AB30" s="53">
        <v>1</v>
      </c>
      <c r="AC30" s="54">
        <f>Inputs!B6*AB30-(T30+W30+Z30+Q30+N30+K30+H30)</f>
        <v>0</v>
      </c>
      <c r="AD30" s="57">
        <f t="shared" si="23"/>
        <v>0</v>
      </c>
      <c r="AE30" s="50">
        <v>1</v>
      </c>
      <c r="AF30" s="56">
        <f>Inputs!B6*AE30-(H30+K30+N30+Q30+T30+W30+Z30+AC30)</f>
        <v>0</v>
      </c>
      <c r="AG30" s="58">
        <f t="shared" si="24"/>
        <v>0</v>
      </c>
      <c r="AH30" s="53">
        <v>1</v>
      </c>
      <c r="AI30" s="54">
        <f>Inputs!B6*AH30-(H30+K30+N30+Q30+T30+W30+Z30+AC30+AF30)</f>
        <v>0</v>
      </c>
      <c r="AJ30" s="57">
        <f t="shared" si="25"/>
        <v>0</v>
      </c>
      <c r="AK30" s="50">
        <v>1</v>
      </c>
      <c r="AL30" s="56">
        <f>Inputs!B6*AK30-(H30+K30+N30+Q30+T30+W30+Z30+AC30+AF30+AI30)</f>
        <v>0</v>
      </c>
      <c r="AM30" s="58">
        <f t="shared" si="26"/>
        <v>0</v>
      </c>
      <c r="AN30" s="53">
        <v>1</v>
      </c>
      <c r="AO30" s="54">
        <f>Inputs!B6*AN30-(H30+K30+N30+Q30+T30+W30+Z30+AC30+AF30+AI30+AL30)</f>
        <v>0</v>
      </c>
      <c r="AP30" s="57">
        <f t="shared" si="27"/>
        <v>0</v>
      </c>
    </row>
    <row r="31" spans="1:46" ht="24" x14ac:dyDescent="0.25">
      <c r="A31" s="44" t="str">
        <f t="shared" si="13"/>
        <v>G0396</v>
      </c>
      <c r="B31" s="45" t="str">
        <f t="shared" si="13"/>
        <v>Alcohol and/or substance (other than tobacco) abuse Screen</v>
      </c>
      <c r="C31" s="46">
        <f t="shared" si="14"/>
        <v>23.95</v>
      </c>
      <c r="D31" s="47">
        <f t="shared" si="15"/>
        <v>1</v>
      </c>
      <c r="E31" s="48">
        <f t="shared" si="15"/>
        <v>1</v>
      </c>
      <c r="F31" s="49" t="s">
        <v>24</v>
      </c>
      <c r="G31" s="50">
        <f>G9</f>
        <v>0.2</v>
      </c>
      <c r="H31" s="51">
        <f>Inputs!B6*G31</f>
        <v>1125</v>
      </c>
      <c r="I31" s="52">
        <f t="shared" si="16"/>
        <v>26943.75</v>
      </c>
      <c r="J31" s="53">
        <f>J9</f>
        <v>0.5</v>
      </c>
      <c r="K31" s="54">
        <f>+(Inputs!B6*J31)-H31</f>
        <v>1687.5</v>
      </c>
      <c r="L31" s="55">
        <f t="shared" si="17"/>
        <v>40415.625</v>
      </c>
      <c r="M31" s="50">
        <f>M9</f>
        <v>0.9</v>
      </c>
      <c r="N31" s="56">
        <f>Inputs!B6*M31-(K31+H31)</f>
        <v>2250</v>
      </c>
      <c r="O31" s="52">
        <f t="shared" si="18"/>
        <v>53887.5</v>
      </c>
      <c r="P31" s="53">
        <f>P9</f>
        <v>1</v>
      </c>
      <c r="Q31" s="54">
        <f>Inputs!B6*P31-(H31+K31+N31)</f>
        <v>562.5</v>
      </c>
      <c r="R31" s="55">
        <f t="shared" si="19"/>
        <v>13471.875</v>
      </c>
      <c r="S31" s="50">
        <f>S9</f>
        <v>1</v>
      </c>
      <c r="T31" s="56">
        <f>Inputs!B6*S31-(K31+N31+Q31+H31)</f>
        <v>0</v>
      </c>
      <c r="U31" s="52">
        <f t="shared" si="20"/>
        <v>0</v>
      </c>
      <c r="V31" s="53">
        <v>1</v>
      </c>
      <c r="W31" s="54">
        <f>Inputs!B6*V31-(N31+Q31+T31+K31+H31)</f>
        <v>0</v>
      </c>
      <c r="X31" s="57">
        <f t="shared" si="21"/>
        <v>0</v>
      </c>
      <c r="Y31" s="50">
        <v>1</v>
      </c>
      <c r="Z31" s="56">
        <f>Inputs!B6*Y31-(Q31+T31+W31+N31+K31+H31)</f>
        <v>0</v>
      </c>
      <c r="AA31" s="58">
        <f t="shared" si="22"/>
        <v>0</v>
      </c>
      <c r="AB31" s="53">
        <v>1</v>
      </c>
      <c r="AC31" s="54">
        <f>Inputs!B6*AB31-(T31+W31+Z31+Q31+N31+K31+H31)</f>
        <v>0</v>
      </c>
      <c r="AD31" s="57">
        <f t="shared" si="23"/>
        <v>0</v>
      </c>
      <c r="AE31" s="50">
        <v>1</v>
      </c>
      <c r="AF31" s="56">
        <f>Inputs!B6*AE31-(H31+K31+N31+Q31+T31+W31+Z31+AC31)</f>
        <v>0</v>
      </c>
      <c r="AG31" s="58">
        <f t="shared" si="24"/>
        <v>0</v>
      </c>
      <c r="AH31" s="53">
        <v>1</v>
      </c>
      <c r="AI31" s="54">
        <f>Inputs!B6*AH31-(H31+K31+N31+Q31+T31+W31+Z31+AC31+AF31)</f>
        <v>0</v>
      </c>
      <c r="AJ31" s="57">
        <f t="shared" si="25"/>
        <v>0</v>
      </c>
      <c r="AK31" s="50">
        <v>1</v>
      </c>
      <c r="AL31" s="56">
        <f>Inputs!B6*AK31-(H31+K31+N31+Q31+T31+W31+Z31+AC31+AF31+AI31)</f>
        <v>0</v>
      </c>
      <c r="AM31" s="58">
        <f t="shared" si="26"/>
        <v>0</v>
      </c>
      <c r="AN31" s="53">
        <v>1</v>
      </c>
      <c r="AO31" s="54">
        <f>Inputs!B6*AN31-(H31+K31+N31+Q31+T31+W31+Z31+AC31+AF31+AI31+AL31)</f>
        <v>0</v>
      </c>
      <c r="AP31" s="57">
        <f t="shared" si="27"/>
        <v>0</v>
      </c>
    </row>
    <row r="32" spans="1:46" x14ac:dyDescent="0.25">
      <c r="A32" s="44">
        <f t="shared" si="13"/>
        <v>96130</v>
      </c>
      <c r="B32" s="45" t="str">
        <f t="shared" si="13"/>
        <v>Psycho testing admin by comp</v>
      </c>
      <c r="C32" s="46">
        <f t="shared" si="14"/>
        <v>95.11</v>
      </c>
      <c r="D32" s="47">
        <f t="shared" si="15"/>
        <v>1</v>
      </c>
      <c r="E32" s="48">
        <f t="shared" si="15"/>
        <v>1</v>
      </c>
      <c r="F32" s="49" t="s">
        <v>24</v>
      </c>
      <c r="G32" s="50">
        <f>G9</f>
        <v>0.2</v>
      </c>
      <c r="H32" s="51">
        <f>Inputs!B6*G32</f>
        <v>1125</v>
      </c>
      <c r="I32" s="52">
        <f t="shared" si="16"/>
        <v>106998.75</v>
      </c>
      <c r="J32" s="53">
        <f>J9</f>
        <v>0.5</v>
      </c>
      <c r="K32" s="54">
        <f>+(Inputs!B6*J32)-H32</f>
        <v>1687.5</v>
      </c>
      <c r="L32" s="55">
        <f t="shared" si="17"/>
        <v>160498.125</v>
      </c>
      <c r="M32" s="50">
        <f>M9</f>
        <v>0.9</v>
      </c>
      <c r="N32" s="56">
        <f>Inputs!B6*M32-(K32+H32)</f>
        <v>2250</v>
      </c>
      <c r="O32" s="52">
        <f t="shared" si="18"/>
        <v>213997.5</v>
      </c>
      <c r="P32" s="53">
        <f>P9</f>
        <v>1</v>
      </c>
      <c r="Q32" s="54">
        <f>Inputs!B6*P32-(H32+K32+N32)</f>
        <v>562.5</v>
      </c>
      <c r="R32" s="55">
        <f t="shared" si="19"/>
        <v>53499.375</v>
      </c>
      <c r="S32" s="50">
        <f>S9</f>
        <v>1</v>
      </c>
      <c r="T32" s="56">
        <f>Inputs!B6*S32-(K32+N32+Q32+H32)</f>
        <v>0</v>
      </c>
      <c r="U32" s="52">
        <f t="shared" si="20"/>
        <v>0</v>
      </c>
      <c r="V32" s="53">
        <v>1</v>
      </c>
      <c r="W32" s="54">
        <f>Inputs!B6*V32-(N32+Q32+T32+K32+H32)</f>
        <v>0</v>
      </c>
      <c r="X32" s="57">
        <f t="shared" si="21"/>
        <v>0</v>
      </c>
      <c r="Y32" s="50">
        <v>1</v>
      </c>
      <c r="Z32" s="56">
        <f>Inputs!B6*Y32-(Q32+T32+W32+N32+K32+H32)</f>
        <v>0</v>
      </c>
      <c r="AA32" s="58">
        <f t="shared" si="22"/>
        <v>0</v>
      </c>
      <c r="AB32" s="53">
        <v>1</v>
      </c>
      <c r="AC32" s="54">
        <f>Inputs!B6*AB32-(T32+W32+Z32+Q32+N32+K32+H32)</f>
        <v>0</v>
      </c>
      <c r="AD32" s="57">
        <f t="shared" si="23"/>
        <v>0</v>
      </c>
      <c r="AE32" s="50">
        <v>1</v>
      </c>
      <c r="AF32" s="56">
        <f>Inputs!B6*AE32-(H32+K32+N32+Q32+T32+W32+Z32+AC32)</f>
        <v>0</v>
      </c>
      <c r="AG32" s="58">
        <f t="shared" si="24"/>
        <v>0</v>
      </c>
      <c r="AH32" s="53">
        <v>1</v>
      </c>
      <c r="AI32" s="54">
        <f>Inputs!B6*AH32-(H32+K32+N32+Q32+T32+W32+Z32+AC32+AF32)</f>
        <v>0</v>
      </c>
      <c r="AJ32" s="57">
        <f t="shared" si="25"/>
        <v>0</v>
      </c>
      <c r="AK32" s="50">
        <v>1</v>
      </c>
      <c r="AL32" s="56">
        <f>Inputs!B6*AK32-(H32+K32+N32+Q32+T32+W32+Z32+AC32+AF32+AI32)</f>
        <v>0</v>
      </c>
      <c r="AM32" s="58">
        <f t="shared" si="26"/>
        <v>0</v>
      </c>
      <c r="AN32" s="53">
        <v>1</v>
      </c>
      <c r="AO32" s="54">
        <f>Inputs!B6*AN32-(H32+K32+N32+Q32+T32+W32+Z32+AC32+AF32+AI32+AL32)</f>
        <v>0</v>
      </c>
      <c r="AP32" s="57">
        <f t="shared" si="27"/>
        <v>0</v>
      </c>
    </row>
    <row r="33" spans="1:46" x14ac:dyDescent="0.25">
      <c r="A33" s="44" t="str">
        <f t="shared" si="13"/>
        <v>G0444</v>
      </c>
      <c r="B33" s="45" t="str">
        <f t="shared" si="13"/>
        <v>Depression screen annual</v>
      </c>
      <c r="C33" s="46">
        <f t="shared" si="14"/>
        <v>9.99</v>
      </c>
      <c r="D33" s="47">
        <f t="shared" si="15"/>
        <v>1</v>
      </c>
      <c r="E33" s="48">
        <f t="shared" si="15"/>
        <v>1</v>
      </c>
      <c r="F33" s="49" t="s">
        <v>24</v>
      </c>
      <c r="G33" s="50">
        <f>G9</f>
        <v>0.2</v>
      </c>
      <c r="H33" s="51">
        <f>Inputs!B6*G33</f>
        <v>1125</v>
      </c>
      <c r="I33" s="52">
        <f t="shared" si="16"/>
        <v>11238.75</v>
      </c>
      <c r="J33" s="53">
        <f>J9</f>
        <v>0.5</v>
      </c>
      <c r="K33" s="54">
        <f>+(Inputs!B6*J33)-H33</f>
        <v>1687.5</v>
      </c>
      <c r="L33" s="55">
        <f t="shared" si="17"/>
        <v>16858.125</v>
      </c>
      <c r="M33" s="50">
        <f>M9</f>
        <v>0.9</v>
      </c>
      <c r="N33" s="56">
        <f>Inputs!B6*M33-(K33+H33)</f>
        <v>2250</v>
      </c>
      <c r="O33" s="52">
        <f t="shared" si="18"/>
        <v>22477.5</v>
      </c>
      <c r="P33" s="53">
        <f>P9</f>
        <v>1</v>
      </c>
      <c r="Q33" s="54">
        <f>Inputs!B6*P33-(H33+K33+N33)</f>
        <v>562.5</v>
      </c>
      <c r="R33" s="55">
        <f t="shared" si="19"/>
        <v>5619.375</v>
      </c>
      <c r="S33" s="50">
        <f>S9</f>
        <v>1</v>
      </c>
      <c r="T33" s="56">
        <f>Inputs!B6*S33-(K33+N33+Q33+H33)</f>
        <v>0</v>
      </c>
      <c r="U33" s="52">
        <f t="shared" si="20"/>
        <v>0</v>
      </c>
      <c r="V33" s="53">
        <v>1</v>
      </c>
      <c r="W33" s="54">
        <f>Inputs!B6*V33-(N33+Q33+T33+K33+H33)</f>
        <v>0</v>
      </c>
      <c r="X33" s="57">
        <f t="shared" si="21"/>
        <v>0</v>
      </c>
      <c r="Y33" s="50">
        <v>1</v>
      </c>
      <c r="Z33" s="56">
        <f>Inputs!B6*Y33-(Q33+T33+W33+N33+K33+H33)</f>
        <v>0</v>
      </c>
      <c r="AA33" s="58">
        <f t="shared" si="22"/>
        <v>0</v>
      </c>
      <c r="AB33" s="53">
        <v>1</v>
      </c>
      <c r="AC33" s="54">
        <f>Inputs!B6*AB33-(T33+W33+Z33+Q33+N33+K33+H33)</f>
        <v>0</v>
      </c>
      <c r="AD33" s="57">
        <f t="shared" si="23"/>
        <v>0</v>
      </c>
      <c r="AE33" s="50">
        <v>1</v>
      </c>
      <c r="AF33" s="56">
        <f>Inputs!B6*AE33-(H33+K33+N33+Q33+T33+W33+Z33+AC33)</f>
        <v>0</v>
      </c>
      <c r="AG33" s="58">
        <f t="shared" si="24"/>
        <v>0</v>
      </c>
      <c r="AH33" s="53">
        <v>1</v>
      </c>
      <c r="AI33" s="54">
        <f>Inputs!B6*AH33-(H33+K33+N33+Q33+T33+W33+Z33+AC33+AF33)</f>
        <v>0</v>
      </c>
      <c r="AJ33" s="57">
        <f t="shared" si="25"/>
        <v>0</v>
      </c>
      <c r="AK33" s="50">
        <v>1</v>
      </c>
      <c r="AL33" s="56">
        <f>Inputs!B6*AK33-(H33+K33+N33+Q33+T33+W33+Z33+AC33+AF33+AI33)</f>
        <v>0</v>
      </c>
      <c r="AM33" s="58">
        <f t="shared" si="26"/>
        <v>0</v>
      </c>
      <c r="AN33" s="53">
        <v>1</v>
      </c>
      <c r="AO33" s="54">
        <f>Inputs!B6*AN33-(H33+K33+N33+Q33+T33+W33+Z33+AC33+AF33+AI33+AL33)</f>
        <v>0</v>
      </c>
      <c r="AP33" s="57">
        <f t="shared" si="27"/>
        <v>0</v>
      </c>
    </row>
    <row r="34" spans="1:46" ht="15.75" thickBot="1" x14ac:dyDescent="0.3">
      <c r="A34" s="59" t="str">
        <f t="shared" si="13"/>
        <v>3288F</v>
      </c>
      <c r="B34" s="60" t="str">
        <f t="shared" si="13"/>
        <v>Fall Risk Screening</v>
      </c>
      <c r="C34" s="61">
        <f t="shared" si="14"/>
        <v>0</v>
      </c>
      <c r="D34" s="62">
        <f t="shared" si="15"/>
        <v>1</v>
      </c>
      <c r="E34" s="63">
        <f t="shared" si="15"/>
        <v>1</v>
      </c>
      <c r="F34" s="64" t="s">
        <v>24</v>
      </c>
      <c r="G34" s="65">
        <f>G9</f>
        <v>0.2</v>
      </c>
      <c r="H34" s="66">
        <f>Inputs!B6*G34</f>
        <v>1125</v>
      </c>
      <c r="I34" s="67">
        <f t="shared" si="16"/>
        <v>0</v>
      </c>
      <c r="J34" s="68">
        <f>J9</f>
        <v>0.5</v>
      </c>
      <c r="K34" s="69">
        <f>+(Inputs!B6*J34)-H34</f>
        <v>1687.5</v>
      </c>
      <c r="L34" s="70">
        <f t="shared" si="17"/>
        <v>0</v>
      </c>
      <c r="M34" s="65">
        <f>M9</f>
        <v>0.9</v>
      </c>
      <c r="N34" s="71">
        <f>Inputs!B6*M34-(K34+H34)</f>
        <v>2250</v>
      </c>
      <c r="O34" s="67">
        <f t="shared" si="18"/>
        <v>0</v>
      </c>
      <c r="P34" s="68">
        <f>P9</f>
        <v>1</v>
      </c>
      <c r="Q34" s="69">
        <f>Inputs!B6*P34-(H34+K34+N34)</f>
        <v>562.5</v>
      </c>
      <c r="R34" s="70">
        <f t="shared" si="19"/>
        <v>0</v>
      </c>
      <c r="S34" s="65">
        <f>S9</f>
        <v>1</v>
      </c>
      <c r="T34" s="71">
        <f>Inputs!B6*S34-(K34+N34+Q34+H34)</f>
        <v>0</v>
      </c>
      <c r="U34" s="67">
        <f t="shared" si="20"/>
        <v>0</v>
      </c>
      <c r="V34" s="68">
        <v>1</v>
      </c>
      <c r="W34" s="69">
        <f>Inputs!B6*V34-(N34+Q34+T34+K34+H34)</f>
        <v>0</v>
      </c>
      <c r="X34" s="72">
        <f t="shared" si="21"/>
        <v>0</v>
      </c>
      <c r="Y34" s="65">
        <v>1</v>
      </c>
      <c r="Z34" s="71">
        <f>Inputs!B6*Y34-(Q34+T34+W34+N34+K34+H34)</f>
        <v>0</v>
      </c>
      <c r="AA34" s="73">
        <f t="shared" si="22"/>
        <v>0</v>
      </c>
      <c r="AB34" s="68">
        <v>1</v>
      </c>
      <c r="AC34" s="69">
        <f>Inputs!B6*AB34-(T34+W34+Z34+Q34+N34+K34+H34)</f>
        <v>0</v>
      </c>
      <c r="AD34" s="72">
        <f t="shared" si="23"/>
        <v>0</v>
      </c>
      <c r="AE34" s="65">
        <v>1</v>
      </c>
      <c r="AF34" s="71">
        <f>Inputs!B6*AE34-(H34+K34+N34+Q34+T34+W34+Z34+AC34)</f>
        <v>0</v>
      </c>
      <c r="AG34" s="73">
        <f t="shared" si="24"/>
        <v>0</v>
      </c>
      <c r="AH34" s="68">
        <v>1</v>
      </c>
      <c r="AI34" s="69">
        <f>Inputs!B6*AH34-(H34+K34+N34+Q34+T34+W34+Z34+AC34+AF34)</f>
        <v>0</v>
      </c>
      <c r="AJ34" s="72">
        <f t="shared" si="25"/>
        <v>0</v>
      </c>
      <c r="AK34" s="65">
        <v>1</v>
      </c>
      <c r="AL34" s="71">
        <f>Inputs!B6*AK34-(H34+K34+N34+Q34+T34+W34+Z34+AC34+AF34+AI34)</f>
        <v>0</v>
      </c>
      <c r="AM34" s="73">
        <f t="shared" si="26"/>
        <v>0</v>
      </c>
      <c r="AN34" s="68">
        <v>1</v>
      </c>
      <c r="AO34" s="69">
        <f>Inputs!B6*AN34-(H34+K34+N34+Q34+T34+W34+Z34+AC34+AF34+AI34+AL34)</f>
        <v>0</v>
      </c>
      <c r="AP34" s="72">
        <f t="shared" si="27"/>
        <v>0</v>
      </c>
    </row>
    <row r="35" spans="1:46" ht="24.75" thickBot="1" x14ac:dyDescent="0.3">
      <c r="A35" s="74" t="str">
        <f t="shared" si="13"/>
        <v>99354/357/358</v>
      </c>
      <c r="B35" s="75" t="str">
        <f t="shared" si="13"/>
        <v>Remote Patient Monitoring</v>
      </c>
      <c r="C35" s="76">
        <f t="shared" si="14"/>
        <v>97.04</v>
      </c>
      <c r="D35" s="77">
        <f t="shared" si="15"/>
        <v>0.3</v>
      </c>
      <c r="E35" s="78">
        <f t="shared" si="15"/>
        <v>12</v>
      </c>
      <c r="F35" s="79" t="s">
        <v>35</v>
      </c>
      <c r="G35" s="80">
        <f>D35</f>
        <v>0.3</v>
      </c>
      <c r="H35" s="81">
        <f>Inputs!B6*G35</f>
        <v>1687.5</v>
      </c>
      <c r="I35" s="82">
        <f t="shared" si="16"/>
        <v>163755</v>
      </c>
      <c r="J35" s="83">
        <f>D35</f>
        <v>0.3</v>
      </c>
      <c r="K35" s="84">
        <f>+(Inputs!B6*J35)</f>
        <v>1687.5</v>
      </c>
      <c r="L35" s="85">
        <f t="shared" si="17"/>
        <v>163755</v>
      </c>
      <c r="M35" s="80">
        <f>D35</f>
        <v>0.3</v>
      </c>
      <c r="N35" s="86">
        <f>Inputs!B6*M35</f>
        <v>1687.5</v>
      </c>
      <c r="O35" s="82">
        <f t="shared" si="18"/>
        <v>163755</v>
      </c>
      <c r="P35" s="83">
        <f>D35</f>
        <v>0.3</v>
      </c>
      <c r="Q35" s="84">
        <f>Inputs!B6*P35</f>
        <v>1687.5</v>
      </c>
      <c r="R35" s="85">
        <f t="shared" si="19"/>
        <v>163755</v>
      </c>
      <c r="S35" s="80">
        <f>$D$15</f>
        <v>0.3</v>
      </c>
      <c r="T35" s="86">
        <f>Inputs!B6*S35</f>
        <v>1687.5</v>
      </c>
      <c r="U35" s="82">
        <f t="shared" si="20"/>
        <v>163755</v>
      </c>
      <c r="V35" s="83">
        <f>Inputs!B7</f>
        <v>0.3</v>
      </c>
      <c r="W35" s="84">
        <f>Inputs!B6*V35</f>
        <v>1687.5</v>
      </c>
      <c r="X35" s="85">
        <f t="shared" si="21"/>
        <v>163755</v>
      </c>
      <c r="Y35" s="80">
        <f>Inputs!B7</f>
        <v>0.3</v>
      </c>
      <c r="Z35" s="86">
        <f>Inputs!B6*Y35</f>
        <v>1687.5</v>
      </c>
      <c r="AA35" s="82">
        <f t="shared" si="22"/>
        <v>163755</v>
      </c>
      <c r="AB35" s="83">
        <f>Inputs!B7</f>
        <v>0.3</v>
      </c>
      <c r="AC35" s="84">
        <f>Inputs!B6*AB35</f>
        <v>1687.5</v>
      </c>
      <c r="AD35" s="85">
        <f t="shared" si="23"/>
        <v>163755</v>
      </c>
      <c r="AE35" s="80">
        <f>D35</f>
        <v>0.3</v>
      </c>
      <c r="AF35" s="86">
        <f>Inputs!B6*AE35</f>
        <v>1687.5</v>
      </c>
      <c r="AG35" s="82">
        <f t="shared" si="24"/>
        <v>163755</v>
      </c>
      <c r="AH35" s="83">
        <f>Inputs!B7</f>
        <v>0.3</v>
      </c>
      <c r="AI35" s="84">
        <f>+AH35*Inputs!B6</f>
        <v>1687.5</v>
      </c>
      <c r="AJ35" s="85">
        <f t="shared" ref="AJ35:AJ39" si="28">+AI35*C35</f>
        <v>163755</v>
      </c>
      <c r="AK35" s="80">
        <f>Inputs!B7</f>
        <v>0.3</v>
      </c>
      <c r="AL35" s="86">
        <f>Inputs!B6*AK35</f>
        <v>1687.5</v>
      </c>
      <c r="AM35" s="82">
        <f t="shared" si="26"/>
        <v>163755</v>
      </c>
      <c r="AN35" s="83">
        <f>Inputs!B7</f>
        <v>0.3</v>
      </c>
      <c r="AO35" s="84">
        <f>Inputs!B6*AN35</f>
        <v>1687.5</v>
      </c>
      <c r="AP35" s="85">
        <f t="shared" si="27"/>
        <v>163755</v>
      </c>
    </row>
    <row r="36" spans="1:46" x14ac:dyDescent="0.25">
      <c r="A36" s="44">
        <f t="shared" si="13"/>
        <v>99487</v>
      </c>
      <c r="B36" s="45" t="str">
        <f t="shared" si="13"/>
        <v>Cmplx chron care w/o pt vsit</v>
      </c>
      <c r="C36" s="87">
        <f t="shared" si="14"/>
        <v>109</v>
      </c>
      <c r="D36" s="88">
        <f t="shared" si="15"/>
        <v>1</v>
      </c>
      <c r="E36" s="89">
        <f t="shared" si="15"/>
        <v>1</v>
      </c>
      <c r="F36" s="90" t="s">
        <v>24</v>
      </c>
      <c r="G36" s="91">
        <f>G9</f>
        <v>0.2</v>
      </c>
      <c r="H36" s="51">
        <f>Inputs!B6*G36</f>
        <v>1125</v>
      </c>
      <c r="I36" s="92">
        <f>H36*C36</f>
        <v>122625</v>
      </c>
      <c r="J36" s="93">
        <f>J9</f>
        <v>0.5</v>
      </c>
      <c r="K36" s="54">
        <f>+(Inputs!B6*J36)-H36</f>
        <v>1687.5</v>
      </c>
      <c r="L36" s="94">
        <f>K36*C36</f>
        <v>183937.5</v>
      </c>
      <c r="M36" s="91">
        <f>M9</f>
        <v>0.9</v>
      </c>
      <c r="N36" s="56">
        <f>Inputs!B6*M36-(K36+H36)</f>
        <v>2250</v>
      </c>
      <c r="O36" s="92">
        <f>N36*C36</f>
        <v>245250</v>
      </c>
      <c r="P36" s="93">
        <f>P9</f>
        <v>1</v>
      </c>
      <c r="Q36" s="54">
        <f>Inputs!B6*P36-(H36+K36+N36)</f>
        <v>562.5</v>
      </c>
      <c r="R36" s="94">
        <f>Q36*C36</f>
        <v>61312.5</v>
      </c>
      <c r="S36" s="91">
        <f>S9</f>
        <v>1</v>
      </c>
      <c r="T36" s="56">
        <f>Inputs!B6*S36-(Q36+N36+K36+H36)</f>
        <v>0</v>
      </c>
      <c r="U36" s="92">
        <f>T36*C36</f>
        <v>0</v>
      </c>
      <c r="V36" s="93">
        <v>1</v>
      </c>
      <c r="W36" s="54">
        <f>Inputs!B6*V36-(N36+Q36+T36+K36+H36)</f>
        <v>0</v>
      </c>
      <c r="X36" s="94">
        <f>W36*C36</f>
        <v>0</v>
      </c>
      <c r="Y36" s="91">
        <v>1</v>
      </c>
      <c r="Z36" s="95">
        <v>0</v>
      </c>
      <c r="AA36" s="92">
        <v>0</v>
      </c>
      <c r="AB36" s="93">
        <v>1</v>
      </c>
      <c r="AC36" s="96">
        <v>0</v>
      </c>
      <c r="AD36" s="94">
        <v>0</v>
      </c>
      <c r="AE36" s="91">
        <v>1</v>
      </c>
      <c r="AF36" s="95">
        <v>0</v>
      </c>
      <c r="AG36" s="92">
        <v>0</v>
      </c>
      <c r="AH36" s="93">
        <v>1</v>
      </c>
      <c r="AI36" s="96">
        <v>0</v>
      </c>
      <c r="AJ36" s="94">
        <v>0</v>
      </c>
      <c r="AK36" s="91">
        <v>1</v>
      </c>
      <c r="AL36" s="95">
        <v>0</v>
      </c>
      <c r="AM36" s="92">
        <v>0</v>
      </c>
      <c r="AN36" s="93">
        <v>1</v>
      </c>
      <c r="AO36" s="96">
        <v>0</v>
      </c>
      <c r="AP36" s="94">
        <v>0</v>
      </c>
    </row>
    <row r="37" spans="1:46" x14ac:dyDescent="0.25">
      <c r="A37" s="44">
        <f t="shared" si="13"/>
        <v>99487</v>
      </c>
      <c r="B37" s="45" t="str">
        <f t="shared" si="13"/>
        <v>Cmplx chron care w/o pt vsit</v>
      </c>
      <c r="C37" s="46">
        <f t="shared" si="14"/>
        <v>109</v>
      </c>
      <c r="D37" s="47">
        <f t="shared" si="15"/>
        <v>1</v>
      </c>
      <c r="E37" s="48">
        <f t="shared" si="15"/>
        <v>11</v>
      </c>
      <c r="F37" s="49" t="s">
        <v>35</v>
      </c>
      <c r="G37" s="50">
        <f>1-G36</f>
        <v>0.8</v>
      </c>
      <c r="H37" s="51">
        <f>Inputs!B6*G37</f>
        <v>4500</v>
      </c>
      <c r="I37" s="52">
        <f t="shared" si="16"/>
        <v>490500</v>
      </c>
      <c r="J37" s="53">
        <f>1.4-J36-G36</f>
        <v>0.7</v>
      </c>
      <c r="K37" s="54">
        <f>+(Inputs!B6*J37)</f>
        <v>3937.4999999999995</v>
      </c>
      <c r="L37" s="55">
        <f t="shared" si="17"/>
        <v>429187.49999999994</v>
      </c>
      <c r="M37" s="50">
        <f>1.5-M36</f>
        <v>0.6</v>
      </c>
      <c r="N37" s="56">
        <f>Inputs!B6*M37</f>
        <v>3375</v>
      </c>
      <c r="O37" s="52">
        <f t="shared" si="18"/>
        <v>367875</v>
      </c>
      <c r="P37" s="53">
        <v>0.9</v>
      </c>
      <c r="Q37" s="54">
        <f>Inputs!B6*P37</f>
        <v>5062.5</v>
      </c>
      <c r="R37" s="55">
        <f t="shared" si="19"/>
        <v>551812.5</v>
      </c>
      <c r="S37" s="50">
        <f>P36</f>
        <v>1</v>
      </c>
      <c r="T37" s="56">
        <f>Inputs!B6*S37</f>
        <v>5625</v>
      </c>
      <c r="U37" s="52">
        <f t="shared" si="20"/>
        <v>613125</v>
      </c>
      <c r="V37" s="53">
        <f>S36</f>
        <v>1</v>
      </c>
      <c r="W37" s="97">
        <f>Inputs!B6*V37</f>
        <v>5625</v>
      </c>
      <c r="X37" s="57">
        <f t="shared" si="21"/>
        <v>613125</v>
      </c>
      <c r="Y37" s="50">
        <v>1</v>
      </c>
      <c r="Z37" s="98">
        <f>Inputs!B6*Y37</f>
        <v>5625</v>
      </c>
      <c r="AA37" s="58">
        <f t="shared" si="22"/>
        <v>613125</v>
      </c>
      <c r="AB37" s="53">
        <v>1</v>
      </c>
      <c r="AC37" s="97">
        <f>Inputs!B6*AB37</f>
        <v>5625</v>
      </c>
      <c r="AD37" s="57">
        <f t="shared" si="23"/>
        <v>613125</v>
      </c>
      <c r="AE37" s="50">
        <v>1</v>
      </c>
      <c r="AF37" s="98">
        <f>Inputs!B6*AE37</f>
        <v>5625</v>
      </c>
      <c r="AG37" s="58">
        <f t="shared" si="24"/>
        <v>613125</v>
      </c>
      <c r="AH37" s="53">
        <v>1</v>
      </c>
      <c r="AI37" s="97">
        <f>+AH37*Inputs!B6</f>
        <v>5625</v>
      </c>
      <c r="AJ37" s="57">
        <f t="shared" si="28"/>
        <v>613125</v>
      </c>
      <c r="AK37" s="50">
        <v>1</v>
      </c>
      <c r="AL37" s="98">
        <f>Inputs!B6*AK37</f>
        <v>5625</v>
      </c>
      <c r="AM37" s="58">
        <f t="shared" si="26"/>
        <v>613125</v>
      </c>
      <c r="AN37" s="53">
        <v>1</v>
      </c>
      <c r="AO37" s="97">
        <f>Inputs!B6*AN37</f>
        <v>5625</v>
      </c>
      <c r="AP37" s="57">
        <f t="shared" si="27"/>
        <v>613125</v>
      </c>
    </row>
    <row r="38" spans="1:46" x14ac:dyDescent="0.25">
      <c r="A38" s="44">
        <f t="shared" si="13"/>
        <v>99490</v>
      </c>
      <c r="B38" s="45" t="str">
        <f t="shared" si="13"/>
        <v>Chron care mgmt srvc 20 min</v>
      </c>
      <c r="C38" s="46">
        <f t="shared" si="14"/>
        <v>54.47</v>
      </c>
      <c r="D38" s="47">
        <f t="shared" si="15"/>
        <v>0.05</v>
      </c>
      <c r="E38" s="48">
        <f t="shared" si="15"/>
        <v>12</v>
      </c>
      <c r="F38" s="49" t="s">
        <v>35</v>
      </c>
      <c r="G38" s="50">
        <f>G37*D38</f>
        <v>4.0000000000000008E-2</v>
      </c>
      <c r="H38" s="51">
        <f>Inputs!B6*G38</f>
        <v>225.00000000000006</v>
      </c>
      <c r="I38" s="52">
        <f t="shared" si="16"/>
        <v>12255.750000000004</v>
      </c>
      <c r="J38" s="53">
        <f>J37*D38</f>
        <v>3.4999999999999996E-2</v>
      </c>
      <c r="K38" s="54">
        <f>+(Inputs!B6*J38)</f>
        <v>196.87499999999997</v>
      </c>
      <c r="L38" s="55">
        <f t="shared" si="17"/>
        <v>10723.781249999998</v>
      </c>
      <c r="M38" s="50">
        <f>M37*D38</f>
        <v>0.03</v>
      </c>
      <c r="N38" s="56">
        <f>Inputs!B6*M38</f>
        <v>168.75</v>
      </c>
      <c r="O38" s="52">
        <f t="shared" si="18"/>
        <v>9191.8125</v>
      </c>
      <c r="P38" s="53">
        <f>P37*D38</f>
        <v>4.5000000000000005E-2</v>
      </c>
      <c r="Q38" s="54">
        <f>Inputs!B6*P38</f>
        <v>253.12500000000003</v>
      </c>
      <c r="R38" s="55">
        <f t="shared" si="19"/>
        <v>13787.718750000002</v>
      </c>
      <c r="S38" s="50">
        <f>S37*D38</f>
        <v>0.05</v>
      </c>
      <c r="T38" s="56">
        <f>Inputs!B6*S38</f>
        <v>281.25</v>
      </c>
      <c r="U38" s="52">
        <f t="shared" si="20"/>
        <v>15319.6875</v>
      </c>
      <c r="V38" s="53">
        <f>V37*D38</f>
        <v>0.05</v>
      </c>
      <c r="W38" s="97">
        <f>Inputs!B6*V38</f>
        <v>281.25</v>
      </c>
      <c r="X38" s="57">
        <f t="shared" si="21"/>
        <v>15319.6875</v>
      </c>
      <c r="Y38" s="50">
        <v>0.05</v>
      </c>
      <c r="Z38" s="98">
        <f>Inputs!B6*Y38</f>
        <v>281.25</v>
      </c>
      <c r="AA38" s="58">
        <f t="shared" si="22"/>
        <v>15319.6875</v>
      </c>
      <c r="AB38" s="53">
        <v>0.05</v>
      </c>
      <c r="AC38" s="97">
        <f>Inputs!B6*AB38</f>
        <v>281.25</v>
      </c>
      <c r="AD38" s="57">
        <f t="shared" si="23"/>
        <v>15319.6875</v>
      </c>
      <c r="AE38" s="50">
        <v>0.05</v>
      </c>
      <c r="AF38" s="98">
        <f>Inputs!B6*AE38</f>
        <v>281.25</v>
      </c>
      <c r="AG38" s="58">
        <f t="shared" si="24"/>
        <v>15319.6875</v>
      </c>
      <c r="AH38" s="53">
        <v>0.05</v>
      </c>
      <c r="AI38" s="97">
        <f>+AH38*Inputs!B6</f>
        <v>281.25</v>
      </c>
      <c r="AJ38" s="57">
        <f t="shared" si="28"/>
        <v>15319.6875</v>
      </c>
      <c r="AK38" s="50">
        <v>0.05</v>
      </c>
      <c r="AL38" s="98">
        <f>Inputs!B6*AK38</f>
        <v>281.25</v>
      </c>
      <c r="AM38" s="58">
        <f t="shared" si="26"/>
        <v>15319.6875</v>
      </c>
      <c r="AN38" s="53">
        <v>0.05</v>
      </c>
      <c r="AO38" s="97">
        <f>Inputs!B6*AN38</f>
        <v>281.25</v>
      </c>
      <c r="AP38" s="57">
        <f t="shared" si="27"/>
        <v>15319.6875</v>
      </c>
    </row>
    <row r="39" spans="1:46" ht="15.75" thickBot="1" x14ac:dyDescent="0.3">
      <c r="A39" s="59" t="str">
        <f t="shared" si="13"/>
        <v>G0459</v>
      </c>
      <c r="B39" s="60" t="str">
        <f t="shared" si="13"/>
        <v>Rx reconciliation</v>
      </c>
      <c r="C39" s="61">
        <f t="shared" si="14"/>
        <v>39.450000000000003</v>
      </c>
      <c r="D39" s="62">
        <f t="shared" si="15"/>
        <v>0.2</v>
      </c>
      <c r="E39" s="99">
        <f t="shared" si="15"/>
        <v>1</v>
      </c>
      <c r="F39" s="64" t="s">
        <v>24</v>
      </c>
      <c r="G39" s="65">
        <f>G36*D39</f>
        <v>4.0000000000000008E-2</v>
      </c>
      <c r="H39" s="66">
        <f>Inputs!B6*G39</f>
        <v>225.00000000000006</v>
      </c>
      <c r="I39" s="67">
        <f t="shared" si="16"/>
        <v>8876.2500000000036</v>
      </c>
      <c r="J39" s="68">
        <f>J36*D39</f>
        <v>0.1</v>
      </c>
      <c r="K39" s="69">
        <f>+((Inputs!B6*J39)-H39)</f>
        <v>337.49999999999994</v>
      </c>
      <c r="L39" s="70">
        <f t="shared" si="17"/>
        <v>13314.374999999998</v>
      </c>
      <c r="M39" s="65">
        <f>M36*D39</f>
        <v>0.18000000000000002</v>
      </c>
      <c r="N39" s="71">
        <f>(Inputs!B6*M39)-K39-H39</f>
        <v>450.00000000000017</v>
      </c>
      <c r="O39" s="67">
        <f t="shared" si="18"/>
        <v>17752.500000000007</v>
      </c>
      <c r="P39" s="68">
        <f>P36*D39</f>
        <v>0.2</v>
      </c>
      <c r="Q39" s="69">
        <f>(Inputs!B6*P39)-N39-K39-H39</f>
        <v>112.49999999999977</v>
      </c>
      <c r="R39" s="70">
        <f t="shared" si="19"/>
        <v>4438.1249999999909</v>
      </c>
      <c r="S39" s="65">
        <f>S36*D39</f>
        <v>0.2</v>
      </c>
      <c r="T39" s="71">
        <f>(Inputs!B6*S39)-Q39-N39-K39-H39</f>
        <v>0</v>
      </c>
      <c r="U39" s="67">
        <f t="shared" si="20"/>
        <v>0</v>
      </c>
      <c r="V39" s="68">
        <v>0.5</v>
      </c>
      <c r="W39" s="100">
        <f>(Inputs!B6*V39)-T39-Q39-N39-K39-H39</f>
        <v>1687.5</v>
      </c>
      <c r="X39" s="72">
        <f t="shared" si="21"/>
        <v>66571.875</v>
      </c>
      <c r="Y39" s="65">
        <v>0.5</v>
      </c>
      <c r="Z39" s="101">
        <f>(Inputs!B6*V39)-T39-Q39-N39-K39-H39</f>
        <v>1687.5</v>
      </c>
      <c r="AA39" s="73">
        <f t="shared" si="22"/>
        <v>66571.875</v>
      </c>
      <c r="AB39" s="68">
        <v>0.5</v>
      </c>
      <c r="AC39" s="100">
        <v>0</v>
      </c>
      <c r="AD39" s="72">
        <f t="shared" si="23"/>
        <v>0</v>
      </c>
      <c r="AE39" s="65">
        <v>0.5</v>
      </c>
      <c r="AF39" s="101">
        <v>0</v>
      </c>
      <c r="AG39" s="73">
        <f t="shared" si="24"/>
        <v>0</v>
      </c>
      <c r="AH39" s="68">
        <v>0.5</v>
      </c>
      <c r="AI39" s="100">
        <v>0</v>
      </c>
      <c r="AJ39" s="72">
        <f t="shared" si="28"/>
        <v>0</v>
      </c>
      <c r="AK39" s="65">
        <v>0.5</v>
      </c>
      <c r="AL39" s="101">
        <v>0</v>
      </c>
      <c r="AM39" s="73">
        <f t="shared" si="26"/>
        <v>0</v>
      </c>
      <c r="AN39" s="68">
        <v>0.5</v>
      </c>
      <c r="AO39" s="100">
        <v>0</v>
      </c>
      <c r="AP39" s="72">
        <f t="shared" si="27"/>
        <v>0</v>
      </c>
    </row>
    <row r="40" spans="1:46" x14ac:dyDescent="0.25">
      <c r="A40" s="102"/>
      <c r="B40" s="103"/>
      <c r="C40" s="104"/>
      <c r="D40" s="105"/>
      <c r="E40" s="106"/>
      <c r="F40" s="102"/>
      <c r="G40" s="107" t="s">
        <v>1</v>
      </c>
      <c r="H40" s="108">
        <f>H29+H37</f>
        <v>5625</v>
      </c>
      <c r="I40" s="109"/>
      <c r="J40" s="105"/>
      <c r="K40" s="108">
        <f>K29+K37</f>
        <v>5625</v>
      </c>
      <c r="L40" s="105"/>
      <c r="M40" s="105"/>
      <c r="N40" s="108">
        <f>N29+N37</f>
        <v>5625</v>
      </c>
      <c r="O40" s="105"/>
      <c r="P40" s="105"/>
      <c r="Q40" s="108">
        <f>Q29+Q37</f>
        <v>5625</v>
      </c>
      <c r="R40" s="105"/>
      <c r="S40" s="105"/>
      <c r="T40" s="108">
        <f>T29+T37</f>
        <v>5625</v>
      </c>
      <c r="U40" s="102"/>
      <c r="V40" s="102"/>
      <c r="W40" s="108">
        <f>W29+W37</f>
        <v>5625</v>
      </c>
      <c r="X40" s="102"/>
      <c r="Y40" s="102"/>
      <c r="Z40" s="108">
        <f>Z29+Z37</f>
        <v>5625</v>
      </c>
      <c r="AA40" s="110"/>
      <c r="AB40" s="102"/>
      <c r="AC40" s="108">
        <f>AC29+AC37</f>
        <v>5625</v>
      </c>
      <c r="AD40" s="110"/>
      <c r="AE40" s="102"/>
      <c r="AF40" s="108">
        <f>AF29+AF37</f>
        <v>5625</v>
      </c>
      <c r="AG40" s="110"/>
      <c r="AH40" s="102"/>
      <c r="AI40" s="108">
        <f>AI29+AI37</f>
        <v>5625</v>
      </c>
      <c r="AJ40" s="110"/>
      <c r="AK40" s="102"/>
      <c r="AL40" s="108">
        <f>AL29+AL37</f>
        <v>5625</v>
      </c>
      <c r="AM40" s="110"/>
      <c r="AN40" s="102"/>
      <c r="AO40" s="108">
        <f>AO29+AO37</f>
        <v>5625</v>
      </c>
      <c r="AP40" s="110"/>
    </row>
    <row r="41" spans="1:46" x14ac:dyDescent="0.25">
      <c r="A41" s="111"/>
      <c r="B41" s="103"/>
      <c r="C41" s="104"/>
      <c r="D41" s="105"/>
      <c r="E41" s="106"/>
      <c r="F41" s="112" t="s">
        <v>40</v>
      </c>
      <c r="G41" s="107" t="s">
        <v>41</v>
      </c>
      <c r="H41" s="108">
        <f>H30+H35+H37</f>
        <v>7312.5</v>
      </c>
      <c r="I41" s="113"/>
      <c r="J41" s="114"/>
      <c r="K41" s="108">
        <f>K30+K35+K37</f>
        <v>7312.5</v>
      </c>
      <c r="M41" s="114"/>
      <c r="N41" s="108">
        <f>N30+N35+N37</f>
        <v>7312.5</v>
      </c>
      <c r="P41" s="114"/>
      <c r="Q41" s="108">
        <f>Q30+Q35+Q37</f>
        <v>7312.5</v>
      </c>
      <c r="S41" s="114"/>
      <c r="T41" s="108">
        <f>T30+T35+T37</f>
        <v>7312.5</v>
      </c>
      <c r="V41" s="115"/>
      <c r="W41" s="108">
        <f>W30+W35+W37</f>
        <v>7312.5</v>
      </c>
      <c r="Y41" s="115"/>
      <c r="Z41" s="108">
        <f>Z30+Z35+Z37</f>
        <v>7312.5</v>
      </c>
      <c r="AB41" s="115"/>
      <c r="AC41" s="108">
        <f>AC30+AC35+AC37</f>
        <v>7312.5</v>
      </c>
      <c r="AE41" s="115"/>
      <c r="AF41" s="108">
        <f>AF30+AF35+AF37</f>
        <v>7312.5</v>
      </c>
      <c r="AH41" s="115"/>
      <c r="AI41" s="108">
        <f>AI30+AI35+AI37</f>
        <v>7312.5</v>
      </c>
      <c r="AK41" s="115"/>
      <c r="AL41" s="108">
        <f>AL30+AL35+AL37</f>
        <v>7312.5</v>
      </c>
      <c r="AN41" s="115"/>
      <c r="AO41" s="108">
        <f>AO30+AO35+AO37</f>
        <v>7312.5</v>
      </c>
      <c r="AQ41" s="118"/>
    </row>
    <row r="42" spans="1:46" ht="24" x14ac:dyDescent="0.25">
      <c r="A42" s="111"/>
      <c r="B42" s="103"/>
      <c r="C42" s="122"/>
      <c r="D42" s="105"/>
      <c r="E42" s="107" t="s">
        <v>42</v>
      </c>
      <c r="F42" s="114">
        <f>+AP42+AM42+AJ42+AG42+AD42+AA42+X42+U42+R42+O42+L42+I42</f>
        <v>10581032.8125</v>
      </c>
      <c r="G42" s="112" t="s">
        <v>58</v>
      </c>
      <c r="H42" s="123" t="s">
        <v>59</v>
      </c>
      <c r="I42" s="114">
        <f>SUM(I29:I39)</f>
        <v>980498.25</v>
      </c>
      <c r="J42" s="114"/>
      <c r="K42" s="108"/>
      <c r="L42" s="114">
        <f>SUM(L29:L39)</f>
        <v>1074647.53125</v>
      </c>
      <c r="M42" s="114"/>
      <c r="N42" s="108"/>
      <c r="O42" s="114">
        <f>SUM(O29:O39)</f>
        <v>1168796.8125</v>
      </c>
      <c r="P42" s="114"/>
      <c r="Q42" s="108"/>
      <c r="R42" s="114">
        <f>SUM(R29:R39)</f>
        <v>886348.96875</v>
      </c>
      <c r="S42" s="114"/>
      <c r="T42" s="108"/>
      <c r="U42" s="114">
        <f>SUM(U29:U39)</f>
        <v>792199.6875</v>
      </c>
      <c r="V42" s="115"/>
      <c r="W42" s="108"/>
      <c r="X42" s="114">
        <f>SUM(X29:X39)</f>
        <v>858771.5625</v>
      </c>
      <c r="Y42" s="115"/>
      <c r="Z42" s="108"/>
      <c r="AA42" s="114">
        <f>SUM(AA29:AA39)</f>
        <v>858771.5625</v>
      </c>
      <c r="AB42" s="115"/>
      <c r="AC42" s="108"/>
      <c r="AD42" s="114">
        <f>SUM(AD29:AD39)</f>
        <v>792199.6875</v>
      </c>
      <c r="AE42" s="115"/>
      <c r="AF42" s="108"/>
      <c r="AG42" s="114">
        <f>SUM(AG29:AG39)</f>
        <v>792199.6875</v>
      </c>
      <c r="AH42" s="115"/>
      <c r="AI42" s="108"/>
      <c r="AJ42" s="114">
        <f>SUM(AJ29:AJ39)</f>
        <v>792199.6875</v>
      </c>
      <c r="AK42" s="115"/>
      <c r="AL42" s="108"/>
      <c r="AM42" s="114">
        <f>SUM(AM29:AM39)</f>
        <v>792199.6875</v>
      </c>
      <c r="AN42" s="115"/>
      <c r="AO42" s="108"/>
      <c r="AP42" s="114">
        <f>SUM(AP29:AP39)</f>
        <v>792199.6875</v>
      </c>
      <c r="AR42" s="116"/>
      <c r="AS42" s="113"/>
      <c r="AT42" s="113"/>
    </row>
    <row r="43" spans="1:46" x14ac:dyDescent="0.25">
      <c r="A43" s="117"/>
      <c r="B43" s="117"/>
      <c r="C43" s="122"/>
      <c r="D43" s="102"/>
      <c r="E43" s="118" t="s">
        <v>43</v>
      </c>
      <c r="F43" s="119">
        <f>+AP43+AM43+AJ43+AG43+AD43+AA43+X43+U43+R43+O43+L43+I43</f>
        <v>6877671.328125</v>
      </c>
      <c r="G43" s="119">
        <f>F43/H40</f>
        <v>1222.6971249999999</v>
      </c>
      <c r="H43" s="119">
        <f>G43/12</f>
        <v>101.89142708333333</v>
      </c>
      <c r="I43" s="119">
        <f>+I42*'CPT Economics'!$A$2</f>
        <v>637323.86250000005</v>
      </c>
      <c r="J43" s="102"/>
      <c r="K43" s="102"/>
      <c r="L43" s="119">
        <f>+L42*'CPT Economics'!$A$2</f>
        <v>698520.89531250007</v>
      </c>
      <c r="M43" s="102"/>
      <c r="N43" s="102"/>
      <c r="O43" s="119">
        <f>+O42*'CPT Economics'!$A$2</f>
        <v>759717.92812499998</v>
      </c>
      <c r="P43" s="102"/>
      <c r="Q43" s="102"/>
      <c r="R43" s="119">
        <f>+R42*'CPT Economics'!$A$2</f>
        <v>576126.82968750002</v>
      </c>
      <c r="S43" s="102"/>
      <c r="T43" s="102"/>
      <c r="U43" s="119">
        <f>+U42*'CPT Economics'!$A$2</f>
        <v>514929.796875</v>
      </c>
      <c r="V43" s="102"/>
      <c r="W43" s="102"/>
      <c r="X43" s="119">
        <f>+X42*'CPT Economics'!$A$2</f>
        <v>558201.515625</v>
      </c>
      <c r="Y43" s="102"/>
      <c r="Z43" s="102"/>
      <c r="AA43" s="119">
        <f>+AA42*'CPT Economics'!$A$2</f>
        <v>558201.515625</v>
      </c>
      <c r="AB43" s="102"/>
      <c r="AC43" s="102"/>
      <c r="AD43" s="119">
        <f>+AD42*'CPT Economics'!$A$2</f>
        <v>514929.796875</v>
      </c>
      <c r="AE43" s="102"/>
      <c r="AF43" s="102"/>
      <c r="AG43" s="119">
        <f>+AG42*'CPT Economics'!$A$2</f>
        <v>514929.796875</v>
      </c>
      <c r="AH43" s="102"/>
      <c r="AI43" s="102"/>
      <c r="AJ43" s="119">
        <f>+AJ42*'CPT Economics'!$A$2</f>
        <v>514929.796875</v>
      </c>
      <c r="AK43" s="102"/>
      <c r="AL43" s="102"/>
      <c r="AM43" s="119">
        <f>+AM42*'CPT Economics'!$A$2</f>
        <v>514929.796875</v>
      </c>
      <c r="AN43" s="102"/>
      <c r="AO43" s="102"/>
      <c r="AP43" s="119">
        <f>+AP42*'CPT Economics'!$A$2</f>
        <v>514929.796875</v>
      </c>
    </row>
    <row r="44" spans="1:46" x14ac:dyDescent="0.25">
      <c r="A44" s="117"/>
      <c r="B44" s="117"/>
      <c r="C44" s="113"/>
      <c r="D44" s="102"/>
      <c r="E44" s="118" t="s">
        <v>44</v>
      </c>
      <c r="F44" s="119">
        <f>+AP44+AM44+AJ44+AG44+AD44+AA44+X44+U44+R44+O44+L44+I44</f>
        <v>3703361.484375</v>
      </c>
      <c r="G44" s="119">
        <f>F44/H40</f>
        <v>658.37537499999996</v>
      </c>
      <c r="H44" s="119">
        <f>G44/12</f>
        <v>54.864614583333328</v>
      </c>
      <c r="I44" s="119">
        <f>I42-I43</f>
        <v>343174.38749999995</v>
      </c>
      <c r="J44" s="102"/>
      <c r="K44" s="102"/>
      <c r="L44" s="119">
        <f>L42-L43</f>
        <v>376126.63593749993</v>
      </c>
      <c r="M44" s="102"/>
      <c r="N44" s="102"/>
      <c r="O44" s="119">
        <f>O42-O43</f>
        <v>409078.88437500002</v>
      </c>
      <c r="P44" s="102"/>
      <c r="Q44" s="102"/>
      <c r="R44" s="119">
        <f>R42-R43</f>
        <v>310222.13906249998</v>
      </c>
      <c r="S44" s="102"/>
      <c r="T44" s="102"/>
      <c r="U44" s="119">
        <f>U42-U43</f>
        <v>277269.890625</v>
      </c>
      <c r="V44" s="102"/>
      <c r="W44" s="102"/>
      <c r="X44" s="119">
        <f>X42-X43</f>
        <v>300570.046875</v>
      </c>
      <c r="Y44" s="102"/>
      <c r="Z44" s="102"/>
      <c r="AA44" s="119">
        <f>AA42-AA43</f>
        <v>300570.046875</v>
      </c>
      <c r="AB44" s="102"/>
      <c r="AC44" s="102"/>
      <c r="AD44" s="119">
        <f>AD42-AD43</f>
        <v>277269.890625</v>
      </c>
      <c r="AE44" s="102"/>
      <c r="AF44" s="102"/>
      <c r="AG44" s="119">
        <f>AG42-AG43</f>
        <v>277269.890625</v>
      </c>
      <c r="AH44" s="102"/>
      <c r="AI44" s="102"/>
      <c r="AJ44" s="119">
        <f>AJ42-AJ43</f>
        <v>277269.890625</v>
      </c>
      <c r="AK44" s="102"/>
      <c r="AL44" s="102"/>
      <c r="AM44" s="119">
        <f>AM42-AM43</f>
        <v>277269.890625</v>
      </c>
      <c r="AN44" s="102"/>
      <c r="AO44" s="102"/>
      <c r="AP44" s="119">
        <f>AP42-AP43</f>
        <v>277269.890625</v>
      </c>
    </row>
    <row r="45" spans="1:46" x14ac:dyDescent="0.25">
      <c r="F45" s="137"/>
      <c r="G45" s="137"/>
      <c r="H45" s="137"/>
      <c r="I45" s="138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</row>
    <row r="46" spans="1:46" x14ac:dyDescent="0.25">
      <c r="F46" s="113"/>
      <c r="G46" s="113"/>
      <c r="H46" s="113"/>
      <c r="K46" s="113"/>
      <c r="N46" s="113"/>
      <c r="Q46" s="113"/>
      <c r="T46" s="113"/>
      <c r="W46" s="113"/>
      <c r="Z46" s="113"/>
      <c r="AC46" s="113"/>
      <c r="AF46" s="113"/>
      <c r="AI46" s="113"/>
      <c r="AL46" s="113"/>
      <c r="AO46" s="113"/>
    </row>
    <row r="47" spans="1:46" x14ac:dyDescent="0.25">
      <c r="F47" s="113"/>
      <c r="G47" s="113"/>
      <c r="H47" s="113"/>
    </row>
    <row r="48" spans="1:46" x14ac:dyDescent="0.25">
      <c r="F48" s="113"/>
    </row>
    <row r="49" spans="3:42" x14ac:dyDescent="0.25">
      <c r="AP49" s="113"/>
    </row>
    <row r="50" spans="3:42" x14ac:dyDescent="0.25">
      <c r="AP50" s="113"/>
    </row>
    <row r="52" spans="3:42" x14ac:dyDescent="0.25">
      <c r="C52" s="113"/>
    </row>
    <row r="53" spans="3:42" x14ac:dyDescent="0.25">
      <c r="C53" s="113"/>
    </row>
    <row r="54" spans="3:42" x14ac:dyDescent="0.25">
      <c r="C54" s="113"/>
    </row>
    <row r="56" spans="3:42" x14ac:dyDescent="0.25">
      <c r="C56" s="104"/>
    </row>
    <row r="57" spans="3:42" x14ac:dyDescent="0.25">
      <c r="C57" s="104"/>
    </row>
    <row r="58" spans="3:42" x14ac:dyDescent="0.25">
      <c r="C58" s="104"/>
    </row>
    <row r="59" spans="3:42" x14ac:dyDescent="0.25">
      <c r="C59" s="104"/>
    </row>
    <row r="60" spans="3:42" x14ac:dyDescent="0.25">
      <c r="C60" s="104"/>
    </row>
  </sheetData>
  <mergeCells count="24">
    <mergeCell ref="AN7:AP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N27:AP27"/>
    <mergeCell ref="G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A86-A062-45F3-97B2-9FD2ED70EB4E}">
  <sheetPr codeName="Sheet3">
    <pageSetUpPr fitToPage="1"/>
  </sheetPr>
  <dimension ref="B1:O30"/>
  <sheetViews>
    <sheetView showGridLines="0" tabSelected="1" view="pageLayout" topLeftCell="D1" zoomScale="89" zoomScaleNormal="100" zoomScalePageLayoutView="89" workbookViewId="0">
      <selection activeCell="H5" sqref="H5"/>
    </sheetView>
  </sheetViews>
  <sheetFormatPr defaultColWidth="8.7109375" defaultRowHeight="18" x14ac:dyDescent="0.35"/>
  <cols>
    <col min="1" max="1" width="2.42578125" style="124" customWidth="1"/>
    <col min="2" max="2" width="25.85546875" style="124" customWidth="1"/>
    <col min="3" max="3" width="12.85546875" style="124" customWidth="1"/>
    <col min="4" max="4" width="14.85546875" style="124" bestFit="1" customWidth="1"/>
    <col min="5" max="5" width="14.140625" style="124" bestFit="1" customWidth="1"/>
    <col min="6" max="6" width="14.42578125" style="124" bestFit="1" customWidth="1"/>
    <col min="7" max="14" width="14.28515625" style="124" bestFit="1" customWidth="1"/>
    <col min="15" max="15" width="16.140625" style="124" bestFit="1" customWidth="1"/>
    <col min="16" max="16384" width="8.7109375" style="124"/>
  </cols>
  <sheetData>
    <row r="1" spans="2:15" ht="8.1" customHeight="1" x14ac:dyDescent="0.35"/>
    <row r="2" spans="2:15" ht="14.1" customHeight="1" x14ac:dyDescent="0.35">
      <c r="B2" s="134" t="s">
        <v>84</v>
      </c>
    </row>
    <row r="3" spans="2:15" ht="9" customHeight="1" x14ac:dyDescent="0.35">
      <c r="B3" s="139"/>
    </row>
    <row r="4" spans="2:15" x14ac:dyDescent="0.35">
      <c r="B4" s="135" t="s">
        <v>66</v>
      </c>
      <c r="C4" s="136">
        <f>Inputs!B5</f>
        <v>12500</v>
      </c>
    </row>
    <row r="5" spans="2:15" x14ac:dyDescent="0.35">
      <c r="B5" s="135" t="s">
        <v>79</v>
      </c>
      <c r="C5" s="136">
        <f>Inputs!B6</f>
        <v>5625</v>
      </c>
    </row>
    <row r="6" spans="2:15" x14ac:dyDescent="0.35">
      <c r="B6" s="135" t="s">
        <v>67</v>
      </c>
      <c r="C6" s="136">
        <f>Inputs!B7*Inputs!B6</f>
        <v>1687.5</v>
      </c>
    </row>
    <row r="7" spans="2:15" ht="8.1" customHeight="1" x14ac:dyDescent="0.35"/>
    <row r="8" spans="2:15" ht="21" x14ac:dyDescent="0.5">
      <c r="C8" s="125" t="s">
        <v>61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2:15" x14ac:dyDescent="0.35">
      <c r="C9" s="128" t="s">
        <v>3</v>
      </c>
      <c r="D9" s="128" t="s">
        <v>4</v>
      </c>
      <c r="E9" s="128" t="s">
        <v>5</v>
      </c>
      <c r="F9" s="128" t="s">
        <v>6</v>
      </c>
      <c r="G9" s="127" t="s">
        <v>7</v>
      </c>
      <c r="H9" s="128" t="s">
        <v>8</v>
      </c>
      <c r="I9" s="128" t="s">
        <v>9</v>
      </c>
      <c r="J9" s="128" t="s">
        <v>10</v>
      </c>
      <c r="K9" s="128" t="s">
        <v>11</v>
      </c>
      <c r="L9" s="128" t="s">
        <v>12</v>
      </c>
      <c r="M9" s="128" t="s">
        <v>13</v>
      </c>
      <c r="N9" s="128" t="s">
        <v>14</v>
      </c>
      <c r="O9" s="128" t="s">
        <v>71</v>
      </c>
    </row>
    <row r="10" spans="2:15" x14ac:dyDescent="0.35">
      <c r="B10" s="124" t="s">
        <v>60</v>
      </c>
      <c r="C10" s="129">
        <f>'CPT Economics'!H20</f>
        <v>1125</v>
      </c>
      <c r="D10" s="129">
        <f>'CPT Economics'!K20</f>
        <v>2812.5</v>
      </c>
      <c r="E10" s="129">
        <f>'CPT Economics'!N20</f>
        <v>5062.5</v>
      </c>
      <c r="F10" s="129">
        <f>'CPT Economics'!Q20</f>
        <v>5625</v>
      </c>
      <c r="G10" s="129">
        <f>'CPT Economics'!T20</f>
        <v>5625</v>
      </c>
      <c r="H10" s="129">
        <f>'CPT Economics'!W20</f>
        <v>5625</v>
      </c>
      <c r="I10" s="129">
        <f>'CPT Economics'!Z20</f>
        <v>5625</v>
      </c>
      <c r="J10" s="129">
        <f>'CPT Economics'!AC20</f>
        <v>5625</v>
      </c>
      <c r="K10" s="129">
        <f>'CPT Economics'!AF20</f>
        <v>5625</v>
      </c>
      <c r="L10" s="129">
        <f>'CPT Economics'!AI20</f>
        <v>5625</v>
      </c>
      <c r="M10" s="129">
        <f>'CPT Economics'!AL20</f>
        <v>5625</v>
      </c>
      <c r="N10" s="129">
        <f>'CPT Economics'!AO20</f>
        <v>5625</v>
      </c>
      <c r="O10" s="129">
        <f>N10</f>
        <v>5625</v>
      </c>
    </row>
    <row r="11" spans="2:15" x14ac:dyDescent="0.35">
      <c r="B11" s="130" t="s">
        <v>68</v>
      </c>
      <c r="C11" s="131">
        <f>'CPT Economics'!I24</f>
        <v>122911.81875000001</v>
      </c>
      <c r="D11" s="131">
        <f>'CPT Economics'!L24</f>
        <v>239821.70624999999</v>
      </c>
      <c r="E11" s="131">
        <f>'CPT Economics'!O24</f>
        <v>377468.53593749995</v>
      </c>
      <c r="F11" s="131">
        <f>'CPT Economics'!R24</f>
        <v>310222.13906249998</v>
      </c>
      <c r="G11" s="131">
        <f>'CPT Economics'!U24</f>
        <v>277269.890625</v>
      </c>
      <c r="H11" s="131">
        <f>'CPT Economics'!X24</f>
        <v>277269.890625</v>
      </c>
      <c r="I11" s="131">
        <f>'CPT Economics'!AA24</f>
        <v>277269.890625</v>
      </c>
      <c r="J11" s="131">
        <f>'CPT Economics'!AD24</f>
        <v>277269.890625</v>
      </c>
      <c r="K11" s="131">
        <f>'CPT Economics'!AG24</f>
        <v>277269.890625</v>
      </c>
      <c r="L11" s="131">
        <f>'CPT Economics'!AJ24</f>
        <v>277269.890625</v>
      </c>
      <c r="M11" s="131">
        <f>'CPT Economics'!AM24</f>
        <v>277269.890625</v>
      </c>
      <c r="N11" s="131">
        <f>'CPT Economics'!AP24</f>
        <v>277269.890625</v>
      </c>
      <c r="O11" s="132">
        <f>SUM(C11:N11)</f>
        <v>3268583.3250000002</v>
      </c>
    </row>
    <row r="12" spans="2:15" hidden="1" x14ac:dyDescent="0.35">
      <c r="B12" s="124" t="s">
        <v>64</v>
      </c>
      <c r="C12" s="133">
        <f>C11/C10</f>
        <v>109.25495000000001</v>
      </c>
      <c r="D12" s="133">
        <f t="shared" ref="D12:N12" si="0">D11/D10</f>
        <v>85.269939999999991</v>
      </c>
      <c r="E12" s="133">
        <f t="shared" si="0"/>
        <v>74.561686111111101</v>
      </c>
      <c r="F12" s="133">
        <f t="shared" si="0"/>
        <v>55.150602499999998</v>
      </c>
      <c r="G12" s="133">
        <f t="shared" si="0"/>
        <v>49.292425000000001</v>
      </c>
      <c r="H12" s="133">
        <f t="shared" si="0"/>
        <v>49.292425000000001</v>
      </c>
      <c r="I12" s="133">
        <f t="shared" si="0"/>
        <v>49.292425000000001</v>
      </c>
      <c r="J12" s="133">
        <f t="shared" si="0"/>
        <v>49.292425000000001</v>
      </c>
      <c r="K12" s="133">
        <f t="shared" si="0"/>
        <v>49.292425000000001</v>
      </c>
      <c r="L12" s="133">
        <f t="shared" si="0"/>
        <v>49.292425000000001</v>
      </c>
      <c r="M12" s="133">
        <f t="shared" si="0"/>
        <v>49.292425000000001</v>
      </c>
      <c r="N12" s="133">
        <f t="shared" si="0"/>
        <v>49.292425000000001</v>
      </c>
      <c r="O12" s="132">
        <f>AVERAGE(C12:N12)</f>
        <v>59.881381550925909</v>
      </c>
    </row>
    <row r="14" spans="2:15" ht="21" x14ac:dyDescent="0.5">
      <c r="C14" s="125" t="s">
        <v>62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2:15" x14ac:dyDescent="0.35">
      <c r="C15" s="128" t="s">
        <v>46</v>
      </c>
      <c r="D15" s="128" t="s">
        <v>47</v>
      </c>
      <c r="E15" s="128" t="s">
        <v>48</v>
      </c>
      <c r="F15" s="128" t="s">
        <v>49</v>
      </c>
      <c r="G15" s="127" t="s">
        <v>50</v>
      </c>
      <c r="H15" s="128" t="s">
        <v>51</v>
      </c>
      <c r="I15" s="128" t="s">
        <v>52</v>
      </c>
      <c r="J15" s="128" t="s">
        <v>53</v>
      </c>
      <c r="K15" s="128" t="s">
        <v>54</v>
      </c>
      <c r="L15" s="128" t="s">
        <v>55</v>
      </c>
      <c r="M15" s="128" t="s">
        <v>56</v>
      </c>
      <c r="N15" s="128" t="s">
        <v>57</v>
      </c>
      <c r="O15" s="128" t="s">
        <v>72</v>
      </c>
    </row>
    <row r="16" spans="2:15" x14ac:dyDescent="0.35">
      <c r="B16" s="124" t="s">
        <v>60</v>
      </c>
      <c r="C16" s="129">
        <f>'CPT Economics'!H40</f>
        <v>5625</v>
      </c>
      <c r="D16" s="129">
        <f>'CPT Economics'!K40</f>
        <v>5625</v>
      </c>
      <c r="E16" s="129">
        <f>'CPT Economics'!N40</f>
        <v>5625</v>
      </c>
      <c r="F16" s="129">
        <f>'CPT Economics'!Q40</f>
        <v>5625</v>
      </c>
      <c r="G16" s="129">
        <f>'CPT Economics'!T40</f>
        <v>5625</v>
      </c>
      <c r="H16" s="129">
        <f>'CPT Economics'!W40</f>
        <v>5625</v>
      </c>
      <c r="I16" s="129">
        <f>'CPT Economics'!Z40</f>
        <v>5625</v>
      </c>
      <c r="J16" s="129">
        <f>'CPT Economics'!AC40</f>
        <v>5625</v>
      </c>
      <c r="K16" s="129">
        <f>'CPT Economics'!AF40</f>
        <v>5625</v>
      </c>
      <c r="L16" s="129">
        <f>'CPT Economics'!AI40</f>
        <v>5625</v>
      </c>
      <c r="M16" s="129">
        <f>'CPT Economics'!AL40</f>
        <v>5625</v>
      </c>
      <c r="N16" s="129">
        <f>'CPT Economics'!AO40</f>
        <v>5625</v>
      </c>
      <c r="O16" s="129">
        <f>N16</f>
        <v>5625</v>
      </c>
    </row>
    <row r="17" spans="2:15" x14ac:dyDescent="0.35">
      <c r="B17" s="130" t="s">
        <v>68</v>
      </c>
      <c r="C17" s="131">
        <f>'CPT Economics'!I44</f>
        <v>343174.38749999995</v>
      </c>
      <c r="D17" s="131">
        <f>'CPT Economics'!L44</f>
        <v>376126.63593749993</v>
      </c>
      <c r="E17" s="131">
        <f>'CPT Economics'!O44</f>
        <v>409078.88437500002</v>
      </c>
      <c r="F17" s="131">
        <f>'CPT Economics'!R44</f>
        <v>310222.13906249998</v>
      </c>
      <c r="G17" s="131">
        <f>'CPT Economics'!U44</f>
        <v>277269.890625</v>
      </c>
      <c r="H17" s="131">
        <f>'CPT Economics'!X44</f>
        <v>300570.046875</v>
      </c>
      <c r="I17" s="131">
        <f>'CPT Economics'!AA44</f>
        <v>300570.046875</v>
      </c>
      <c r="J17" s="131">
        <f>'CPT Economics'!AD44</f>
        <v>277269.890625</v>
      </c>
      <c r="K17" s="131">
        <f>'CPT Economics'!AG44</f>
        <v>277269.890625</v>
      </c>
      <c r="L17" s="131">
        <f>'CPT Economics'!AJ44</f>
        <v>277269.890625</v>
      </c>
      <c r="M17" s="131">
        <f>'CPT Economics'!AM44</f>
        <v>277269.890625</v>
      </c>
      <c r="N17" s="131">
        <f>'CPT Economics'!AP44</f>
        <v>277269.890625</v>
      </c>
      <c r="O17" s="132">
        <f>SUM(C17:N17)</f>
        <v>3703361.484375</v>
      </c>
    </row>
    <row r="18" spans="2:15" hidden="1" x14ac:dyDescent="0.35">
      <c r="B18" s="124" t="s">
        <v>64</v>
      </c>
      <c r="C18" s="133">
        <f>C17/C16</f>
        <v>61.008779999999994</v>
      </c>
      <c r="D18" s="133">
        <f t="shared" ref="D18:N18" si="1">D17/D16</f>
        <v>66.866957499999984</v>
      </c>
      <c r="E18" s="133">
        <f t="shared" si="1"/>
        <v>72.725135000000009</v>
      </c>
      <c r="F18" s="133">
        <f t="shared" si="1"/>
        <v>55.150602499999998</v>
      </c>
      <c r="G18" s="133">
        <f t="shared" si="1"/>
        <v>49.292425000000001</v>
      </c>
      <c r="H18" s="133">
        <f t="shared" si="1"/>
        <v>53.434674999999999</v>
      </c>
      <c r="I18" s="133">
        <f t="shared" si="1"/>
        <v>53.434674999999999</v>
      </c>
      <c r="J18" s="133">
        <f t="shared" si="1"/>
        <v>49.292425000000001</v>
      </c>
      <c r="K18" s="133">
        <f t="shared" si="1"/>
        <v>49.292425000000001</v>
      </c>
      <c r="L18" s="133">
        <f t="shared" si="1"/>
        <v>49.292425000000001</v>
      </c>
      <c r="M18" s="133">
        <f t="shared" si="1"/>
        <v>49.292425000000001</v>
      </c>
      <c r="N18" s="133">
        <f t="shared" si="1"/>
        <v>49.292425000000001</v>
      </c>
      <c r="O18" s="132">
        <f>AVERAGE(C18:N18)</f>
        <v>54.864614583333321</v>
      </c>
    </row>
    <row r="20" spans="2:15" ht="8.1" customHeight="1" x14ac:dyDescent="0.35"/>
    <row r="21" spans="2:15" x14ac:dyDescent="0.35">
      <c r="B21" s="134" t="s">
        <v>63</v>
      </c>
    </row>
    <row r="22" spans="2:15" x14ac:dyDescent="0.35">
      <c r="B22" s="124" t="s">
        <v>70</v>
      </c>
    </row>
    <row r="23" spans="2:15" x14ac:dyDescent="0.35">
      <c r="B23" s="124" t="s">
        <v>80</v>
      </c>
    </row>
    <row r="24" spans="2:15" x14ac:dyDescent="0.35">
      <c r="B24" s="124" t="s">
        <v>81</v>
      </c>
    </row>
    <row r="25" spans="2:15" x14ac:dyDescent="0.35">
      <c r="B25" s="124" t="s">
        <v>85</v>
      </c>
    </row>
    <row r="26" spans="2:15" x14ac:dyDescent="0.35">
      <c r="B26" s="124" t="s">
        <v>78</v>
      </c>
    </row>
    <row r="27" spans="2:15" x14ac:dyDescent="0.35">
      <c r="B27" s="124" t="s">
        <v>69</v>
      </c>
    </row>
    <row r="28" spans="2:15" x14ac:dyDescent="0.35">
      <c r="B28" s="124" t="s">
        <v>65</v>
      </c>
    </row>
    <row r="29" spans="2:15" ht="37.5" customHeight="1" x14ac:dyDescent="0.35">
      <c r="B29" s="154" t="s">
        <v>86</v>
      </c>
      <c r="C29" s="154"/>
      <c r="D29" s="154"/>
      <c r="E29" s="154"/>
      <c r="F29" s="154"/>
      <c r="G29" s="154"/>
    </row>
    <row r="30" spans="2:15" x14ac:dyDescent="0.35">
      <c r="B30" s="140"/>
    </row>
  </sheetData>
  <mergeCells count="1">
    <mergeCell ref="B29:G29"/>
  </mergeCells>
  <pageMargins left="0.7" right="0.7" top="0.75" bottom="0.75" header="0.3" footer="0.3"/>
  <pageSetup scale="56" fitToHeight="0" orientation="landscape" r:id="rId1"/>
  <headerFooter>
    <oddHeader xml:space="preserve">&amp;C&amp;"-,Bold"&amp;16MEDIFY HEALTH
&amp;"-,Regular"Twenty-Four Month Revenue Model
&amp;"-,Bold"&amp;11Illustration purposes only&amp;"-,Regular"&amp;16
</oddHeader>
    <oddFooter>&amp;LDraft and Confidential&amp;R&amp;D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Edd Pratt</cp:lastModifiedBy>
  <cp:lastPrinted>2024-08-05T20:31:58Z</cp:lastPrinted>
  <dcterms:created xsi:type="dcterms:W3CDTF">2022-09-08T20:06:45Z</dcterms:created>
  <dcterms:modified xsi:type="dcterms:W3CDTF">2025-04-26T20:08:54Z</dcterms:modified>
</cp:coreProperties>
</file>